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R:\s.schmutzler\EKalk\"/>
    </mc:Choice>
  </mc:AlternateContent>
  <xr:revisionPtr revIDLastSave="0" documentId="13_ncr:1_{5C64823B-3A3A-4282-9907-FE13D04107AB}" xr6:coauthVersionLast="47" xr6:coauthVersionMax="47" xr10:uidLastSave="{00000000-0000-0000-0000-000000000000}"/>
  <bookViews>
    <workbookView xWindow="28680" yWindow="-120" windowWidth="29040" windowHeight="15840" tabRatio="792" activeTab="1" xr2:uid="{00000000-000D-0000-FFFF-FFFF00000000}"/>
  </bookViews>
  <sheets>
    <sheet name="DECKBLATT" sheetId="1" r:id="rId1"/>
    <sheet name="Mengengerüst" sheetId="6" r:id="rId2"/>
    <sheet name="HW" sheetId="3" r:id="rId3"/>
    <sheet name="EAs" sheetId="2" r:id="rId4"/>
    <sheet name="DL" sheetId="4" r:id="rId5"/>
    <sheet name="EMO" sheetId="5" r:id="rId6"/>
    <sheet name="Gerüst CA" sheetId="8" r:id="rId7"/>
    <sheet name="Anschlußl." sheetId="9" r:id="rId8"/>
  </sheets>
  <definedNames>
    <definedName name="_xlnm.Print_Titles" localSheetId="3">EAs!$1:$3</definedName>
    <definedName name="Z_3AE3C0CE_F6F6_4222_9052_F72F2FCDEDAE_.wvu.PrintTitles" localSheetId="3" hidden="1">EAs!$1:$3</definedName>
    <definedName name="Z_3AE3C0CE_F6F6_4222_9052_F72F2FCDEDAE_.wvu.Rows" localSheetId="2" hidden="1">HW!$105:$148</definedName>
    <definedName name="Z_3AE3C0CE_F6F6_4222_9052_F72F2FCDEDAE_.wvu.Rows" localSheetId="1" hidden="1">Mengengerüst!$45:$70</definedName>
  </definedNames>
  <calcPr calcId="181029"/>
  <customWorkbookViews>
    <customWorkbookView name="Marcus Schellhammer - Persönliche Ansicht" guid="{3AE3C0CE-F6F6-4222-9052-F72F2FCDEDAE}" mergeInterval="0" personalView="1" maximized="1" xWindow="-8" yWindow="-8" windowWidth="1936" windowHeight="1176" tabRatio="792" activeSheetId="3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72" i="6" l="1"/>
  <c r="B62" i="6"/>
  <c r="B40" i="6"/>
  <c r="B30" i="6"/>
  <c r="B66" i="6"/>
  <c r="B47" i="6"/>
  <c r="F43" i="3"/>
  <c r="B25" i="3"/>
  <c r="B65" i="6" l="1"/>
  <c r="F20" i="3"/>
  <c r="F17" i="3" l="1"/>
  <c r="H12" i="3" l="1"/>
  <c r="G98" i="6" l="1"/>
  <c r="F180" i="3" l="1"/>
  <c r="F179" i="3"/>
  <c r="F25" i="3" l="1"/>
  <c r="B26" i="3"/>
  <c r="J25" i="3"/>
  <c r="J23" i="3"/>
  <c r="F23" i="3"/>
  <c r="L66" i="3" l="1"/>
  <c r="M66" i="3" s="1"/>
  <c r="I66" i="3"/>
  <c r="J66" i="3" s="1"/>
  <c r="F66" i="3"/>
  <c r="O79" i="3"/>
  <c r="N79" i="3"/>
  <c r="P79" i="3" s="1"/>
  <c r="C9" i="5" l="1"/>
  <c r="G79" i="2" l="1"/>
  <c r="F79" i="2"/>
  <c r="F128" i="3" l="1"/>
  <c r="F126" i="3"/>
  <c r="G55" i="6" l="1"/>
  <c r="L27" i="3" l="1"/>
  <c r="M27" i="3" s="1"/>
  <c r="I27" i="3"/>
  <c r="A17" i="6" l="1"/>
  <c r="B63" i="3" l="1"/>
  <c r="J57" i="3" l="1"/>
  <c r="A159" i="3" l="1"/>
  <c r="A119" i="6"/>
  <c r="B139" i="6"/>
  <c r="B138" i="6"/>
  <c r="A137" i="6"/>
  <c r="A126" i="6"/>
  <c r="A140" i="6"/>
  <c r="B141" i="6" l="1"/>
  <c r="B143" i="6"/>
  <c r="B140" i="6"/>
  <c r="B142" i="6"/>
  <c r="B144" i="6"/>
  <c r="I49" i="3"/>
  <c r="I30" i="3"/>
  <c r="I29" i="3"/>
  <c r="A27" i="2" l="1"/>
  <c r="J61" i="3" l="1"/>
  <c r="A101" i="3"/>
  <c r="F49" i="3" l="1"/>
  <c r="F52" i="3"/>
  <c r="F46" i="3"/>
  <c r="L30" i="3" l="1"/>
  <c r="M30" i="3" s="1"/>
  <c r="J30" i="3"/>
  <c r="F30" i="3"/>
  <c r="B26" i="6" l="1"/>
  <c r="B35" i="6" l="1"/>
  <c r="B55" i="3"/>
  <c r="I55" i="3" s="1"/>
  <c r="B59" i="3"/>
  <c r="F59" i="3" s="1"/>
  <c r="B33" i="6"/>
  <c r="B42" i="6"/>
  <c r="B41" i="6"/>
  <c r="B43" i="6"/>
  <c r="B157" i="6"/>
  <c r="C32" i="6"/>
  <c r="B32" i="6" s="1"/>
  <c r="D34" i="6"/>
  <c r="B34" i="6" s="1"/>
  <c r="C39" i="6"/>
  <c r="B39" i="6" s="1"/>
  <c r="C4" i="6"/>
  <c r="O54" i="3" l="1"/>
  <c r="B175" i="6"/>
  <c r="P54" i="3"/>
  <c r="L59" i="3"/>
  <c r="M59" i="3" s="1"/>
  <c r="I59" i="3"/>
  <c r="J59" i="3" s="1"/>
  <c r="F63" i="3"/>
  <c r="L63" i="3"/>
  <c r="M63" i="3" s="1"/>
  <c r="I63" i="3"/>
  <c r="J63" i="3" s="1"/>
  <c r="B27" i="2"/>
  <c r="B101" i="3"/>
  <c r="I101" i="3" s="1"/>
  <c r="J101" i="3" s="1"/>
  <c r="E25" i="1"/>
  <c r="F27" i="2" l="1"/>
  <c r="G27" i="2"/>
  <c r="L101" i="3"/>
  <c r="M101" i="3" s="1"/>
  <c r="B102" i="3"/>
  <c r="F102" i="3" s="1"/>
  <c r="F101" i="3"/>
  <c r="L46" i="3"/>
  <c r="M46" i="3" s="1"/>
  <c r="I46" i="3"/>
  <c r="J46" i="3" s="1"/>
  <c r="L49" i="3"/>
  <c r="M49" i="3" s="1"/>
  <c r="J49" i="3"/>
  <c r="B37" i="3" l="1"/>
  <c r="B136" i="3" s="1"/>
  <c r="B125" i="3" l="1"/>
  <c r="B127" i="3"/>
  <c r="B124" i="3"/>
  <c r="N37" i="3"/>
  <c r="O37" i="3"/>
  <c r="A61" i="6"/>
  <c r="A60" i="6"/>
  <c r="A59" i="6"/>
  <c r="B128" i="6"/>
  <c r="B127" i="6"/>
  <c r="P37" i="3" l="1"/>
  <c r="B129" i="6"/>
  <c r="B130" i="6"/>
  <c r="B133" i="6"/>
  <c r="B134" i="6"/>
  <c r="F4" i="8" l="1"/>
  <c r="F3" i="8"/>
  <c r="F2" i="8"/>
  <c r="H5" i="4"/>
  <c r="H4" i="4"/>
  <c r="H3" i="4"/>
  <c r="J5" i="2"/>
  <c r="J4" i="2"/>
  <c r="J3" i="2"/>
  <c r="I4" i="3"/>
  <c r="I3" i="3"/>
  <c r="I2" i="3"/>
  <c r="E4" i="6"/>
  <c r="B4" i="6"/>
  <c r="A4" i="6"/>
  <c r="E3" i="6"/>
  <c r="C3" i="6"/>
  <c r="B3" i="6"/>
  <c r="A3" i="6"/>
  <c r="A1" i="6"/>
  <c r="G32" i="2"/>
  <c r="G31" i="2"/>
  <c r="G30" i="2"/>
  <c r="G25" i="2"/>
  <c r="F32" i="2"/>
  <c r="F31" i="2"/>
  <c r="F30" i="2"/>
  <c r="F25" i="2"/>
  <c r="E41" i="1"/>
  <c r="E40" i="1"/>
  <c r="E39" i="1"/>
  <c r="E37" i="1"/>
  <c r="E35" i="1"/>
  <c r="E31" i="1"/>
  <c r="E30" i="1"/>
  <c r="E23" i="1"/>
  <c r="F19" i="3" l="1"/>
  <c r="F18" i="3"/>
  <c r="F16" i="3"/>
  <c r="F15" i="3"/>
  <c r="L14" i="3"/>
  <c r="M14" i="3" s="1"/>
  <c r="I14" i="3"/>
  <c r="J14" i="3" s="1"/>
  <c r="F14" i="3"/>
  <c r="B46" i="2"/>
  <c r="B10" i="6" l="1"/>
  <c r="B9" i="6"/>
  <c r="B78" i="3" l="1"/>
  <c r="B13" i="6"/>
  <c r="B19" i="6"/>
  <c r="B17" i="6"/>
  <c r="B70" i="3"/>
  <c r="I78" i="3"/>
  <c r="J78" i="3" s="1"/>
  <c r="L78" i="3"/>
  <c r="M78" i="3" s="1"/>
  <c r="P78" i="3"/>
  <c r="F78" i="3"/>
  <c r="B18" i="6"/>
  <c r="B82" i="3"/>
  <c r="F169" i="3"/>
  <c r="B15" i="6"/>
  <c r="B21" i="6"/>
  <c r="B20" i="6"/>
  <c r="B16" i="6"/>
  <c r="B22" i="6"/>
  <c r="B12" i="6"/>
  <c r="B14" i="6"/>
  <c r="B28" i="2" s="1"/>
  <c r="B178" i="3" l="1"/>
  <c r="F178" i="3" s="1"/>
  <c r="B176" i="3"/>
  <c r="B177" i="3"/>
  <c r="B181" i="3" s="1"/>
  <c r="B164" i="6"/>
  <c r="B45" i="2" s="1"/>
  <c r="N69" i="3"/>
  <c r="B140" i="3"/>
  <c r="B138" i="3"/>
  <c r="B137" i="3"/>
  <c r="B139" i="3"/>
  <c r="L82" i="3"/>
  <c r="M82" i="3" s="1"/>
  <c r="B70" i="2"/>
  <c r="F82" i="3"/>
  <c r="I82" i="3"/>
  <c r="J82" i="3" s="1"/>
  <c r="P82" i="3"/>
  <c r="I74" i="3"/>
  <c r="J74" i="3" s="1"/>
  <c r="L74" i="3"/>
  <c r="M74" i="3" s="1"/>
  <c r="F74" i="3"/>
  <c r="B38" i="2"/>
  <c r="I70" i="3"/>
  <c r="J70" i="3" s="1"/>
  <c r="F70" i="3"/>
  <c r="L70" i="3"/>
  <c r="M70" i="3" s="1"/>
  <c r="G28" i="2"/>
  <c r="F28" i="2"/>
  <c r="B179" i="6"/>
  <c r="F156" i="3"/>
  <c r="B142" i="3" l="1"/>
  <c r="F142" i="3" s="1"/>
  <c r="G146" i="3"/>
  <c r="B143" i="3"/>
  <c r="F143" i="3" s="1"/>
  <c r="B144" i="3"/>
  <c r="F144" i="3" s="1"/>
  <c r="F138" i="3"/>
  <c r="B141" i="3"/>
  <c r="F141" i="3" s="1"/>
  <c r="F139" i="3"/>
  <c r="F140" i="3"/>
  <c r="F136" i="3"/>
  <c r="F137" i="3"/>
  <c r="B46" i="6"/>
  <c r="B50" i="6" l="1"/>
  <c r="F145" i="3"/>
  <c r="B60" i="6"/>
  <c r="B54" i="6"/>
  <c r="B131" i="3"/>
  <c r="F131" i="3" s="1"/>
  <c r="B129" i="3"/>
  <c r="F129" i="3" s="1"/>
  <c r="F124" i="3"/>
  <c r="B55" i="6"/>
  <c r="F127" i="3"/>
  <c r="F125" i="3"/>
  <c r="B64" i="6"/>
  <c r="C65" i="6"/>
  <c r="B61" i="6"/>
  <c r="B51" i="6"/>
  <c r="B52" i="6"/>
  <c r="B68" i="6"/>
  <c r="B53" i="6"/>
  <c r="B67" i="6"/>
  <c r="B69" i="6"/>
  <c r="D66" i="6" l="1"/>
  <c r="B130" i="3"/>
  <c r="F130" i="3" s="1"/>
  <c r="B132" i="3"/>
  <c r="F132" i="3" s="1"/>
  <c r="N39" i="3"/>
  <c r="N83" i="3" s="1"/>
  <c r="B86" i="3" s="1"/>
  <c r="B74" i="6"/>
  <c r="B73" i="6"/>
  <c r="B72" i="6"/>
  <c r="B92" i="6"/>
  <c r="B91" i="6"/>
  <c r="B107" i="6" s="1"/>
  <c r="B93" i="6" l="1"/>
  <c r="B100" i="6"/>
  <c r="B165" i="6" s="1"/>
  <c r="B98" i="6"/>
  <c r="B88" i="6"/>
  <c r="B75" i="6"/>
  <c r="B153" i="6" s="1"/>
  <c r="F133" i="3"/>
  <c r="I86" i="3"/>
  <c r="J86" i="3" s="1"/>
  <c r="B77" i="6"/>
  <c r="B155" i="6" s="1"/>
  <c r="B159" i="3" s="1"/>
  <c r="F159" i="3" s="1"/>
  <c r="B97" i="6"/>
  <c r="B108" i="6"/>
  <c r="B102" i="6"/>
  <c r="B177" i="6" s="1"/>
  <c r="B106" i="6"/>
  <c r="B87" i="6"/>
  <c r="B86" i="6"/>
  <c r="B82" i="6"/>
  <c r="B173" i="6" s="1"/>
  <c r="B80" i="6"/>
  <c r="F21" i="3"/>
  <c r="B169" i="6" l="1"/>
  <c r="B163" i="6"/>
  <c r="B158" i="6"/>
  <c r="A4" i="9"/>
  <c r="A150" i="6" l="1"/>
  <c r="E22" i="2"/>
  <c r="E34" i="1"/>
  <c r="J47" i="3"/>
  <c r="F40" i="3"/>
  <c r="F55" i="3" l="1"/>
  <c r="L52" i="3" l="1"/>
  <c r="M52" i="3" s="1"/>
  <c r="I52" i="3"/>
  <c r="J52" i="3" s="1"/>
  <c r="J50" i="3"/>
  <c r="F37" i="3"/>
  <c r="B132" i="6"/>
  <c r="O52" i="3" s="1"/>
  <c r="P52" i="3" l="1"/>
  <c r="B55" i="2"/>
  <c r="B167" i="6"/>
  <c r="B168" i="6"/>
  <c r="I37" i="3"/>
  <c r="A129" i="6" l="1"/>
  <c r="B84" i="6"/>
  <c r="B85" i="6"/>
  <c r="B78" i="6"/>
  <c r="B63" i="2" l="1"/>
  <c r="I40" i="3"/>
  <c r="A4" i="3"/>
  <c r="I43" i="3"/>
  <c r="L37" i="3" l="1"/>
  <c r="M37" i="3" s="1"/>
  <c r="J37" i="3"/>
  <c r="B4" i="3" l="1"/>
  <c r="L13" i="3"/>
  <c r="M13" i="3" s="1"/>
  <c r="L12" i="3"/>
  <c r="M12" i="3" s="1"/>
  <c r="L29" i="3"/>
  <c r="M29" i="3" s="1"/>
  <c r="F26" i="3"/>
  <c r="L33" i="3"/>
  <c r="M33" i="3" s="1"/>
  <c r="J33" i="3"/>
  <c r="F33" i="3"/>
  <c r="J24" i="3"/>
  <c r="F24" i="3"/>
  <c r="J53" i="3"/>
  <c r="J43" i="3"/>
  <c r="J41" i="3"/>
  <c r="J44" i="3"/>
  <c r="J40" i="3"/>
  <c r="J38" i="3"/>
  <c r="J32" i="3"/>
  <c r="J29" i="3"/>
  <c r="J28" i="3"/>
  <c r="J27" i="3"/>
  <c r="J26" i="3"/>
  <c r="J22" i="3"/>
  <c r="A4" i="2"/>
  <c r="I13" i="3" l="1"/>
  <c r="J13" i="3" s="1"/>
  <c r="F13" i="3"/>
  <c r="F88" i="3" l="1"/>
  <c r="F89" i="3"/>
  <c r="F90" i="3"/>
  <c r="B92" i="3"/>
  <c r="F92" i="3" s="1"/>
  <c r="L32" i="3" l="1"/>
  <c r="L34" i="3" s="1"/>
  <c r="L43" i="3"/>
  <c r="M43" i="3" s="1"/>
  <c r="L40" i="3"/>
  <c r="M40" i="3" s="1"/>
  <c r="A155" i="3"/>
  <c r="F21" i="1" l="1"/>
  <c r="E21" i="1" s="1"/>
  <c r="M32" i="3"/>
  <c r="M34" i="3" s="1"/>
  <c r="E27" i="4" s="1"/>
  <c r="F32" i="1" l="1"/>
  <c r="E32" i="1" s="1"/>
  <c r="D9" i="5" l="1"/>
  <c r="F9" i="5" s="1"/>
  <c r="J55" i="3"/>
  <c r="F108" i="3"/>
  <c r="F109" i="3"/>
  <c r="B110" i="3"/>
  <c r="F110" i="3" s="1"/>
  <c r="F111" i="3"/>
  <c r="F115" i="3"/>
  <c r="F114" i="3"/>
  <c r="F116" i="3"/>
  <c r="G116" i="3"/>
  <c r="F117" i="3"/>
  <c r="F118" i="3"/>
  <c r="G118" i="3"/>
  <c r="F119" i="3"/>
  <c r="F29" i="3"/>
  <c r="F28" i="3"/>
  <c r="L55" i="3" l="1"/>
  <c r="M55" i="3" s="1"/>
  <c r="G121" i="3"/>
  <c r="F113" i="3"/>
  <c r="C10" i="5" l="1"/>
  <c r="C20" i="5" s="1"/>
  <c r="D10" i="5" l="1"/>
  <c r="F10" i="5" s="1"/>
  <c r="B166" i="6"/>
  <c r="B47" i="2" s="1"/>
  <c r="A169" i="6"/>
  <c r="A108" i="6"/>
  <c r="A88" i="6"/>
  <c r="A69" i="6"/>
  <c r="A153" i="6"/>
  <c r="A112" i="6"/>
  <c r="A93" i="6"/>
  <c r="A75" i="6"/>
  <c r="A50" i="6"/>
  <c r="B185" i="8"/>
  <c r="B37" i="6" l="1"/>
  <c r="B156" i="6"/>
  <c r="G4" i="3" l="1"/>
  <c r="F22" i="3" l="1"/>
  <c r="F170" i="3" l="1"/>
  <c r="G63" i="2" l="1"/>
  <c r="B171" i="6" l="1"/>
  <c r="G65" i="6"/>
  <c r="G64" i="6"/>
  <c r="G54" i="6"/>
  <c r="G53" i="6"/>
  <c r="G52" i="6"/>
  <c r="G51" i="6"/>
  <c r="G50" i="6"/>
  <c r="B160" i="6" l="1"/>
  <c r="G104" i="6" l="1"/>
  <c r="G102" i="6"/>
  <c r="B64" i="2" s="1"/>
  <c r="G101" i="6"/>
  <c r="G97" i="6"/>
  <c r="G96" i="6"/>
  <c r="G95" i="6"/>
  <c r="G94" i="6"/>
  <c r="G93" i="6"/>
  <c r="G99" i="6" s="1"/>
  <c r="G85" i="6"/>
  <c r="G83" i="6"/>
  <c r="G82" i="6"/>
  <c r="G81" i="6"/>
  <c r="G80" i="6"/>
  <c r="G79" i="6"/>
  <c r="G78" i="6"/>
  <c r="G76" i="6"/>
  <c r="G75" i="6"/>
  <c r="B76" i="6" l="1"/>
  <c r="B81" i="6" l="1"/>
  <c r="B170" i="6" s="1"/>
  <c r="B43" i="2" s="1"/>
  <c r="B165" i="8" l="1"/>
  <c r="B152" i="8"/>
  <c r="B135" i="8" l="1"/>
  <c r="B134" i="8"/>
  <c r="B132" i="8"/>
  <c r="B126" i="8"/>
  <c r="B125" i="8"/>
  <c r="B118" i="8"/>
  <c r="B117" i="8"/>
  <c r="B115" i="8"/>
  <c r="B109" i="8"/>
  <c r="B108" i="8"/>
  <c r="B101" i="8"/>
  <c r="B100" i="8"/>
  <c r="B98" i="8"/>
  <c r="B92" i="8"/>
  <c r="B91" i="8"/>
  <c r="B84" i="8"/>
  <c r="B83" i="8"/>
  <c r="B81" i="8"/>
  <c r="B75" i="8"/>
  <c r="B74" i="8"/>
  <c r="B191" i="8"/>
  <c r="B50" i="2" s="1"/>
  <c r="B67" i="8"/>
  <c r="B66" i="8"/>
  <c r="B64" i="8"/>
  <c r="B58" i="8"/>
  <c r="B57" i="8"/>
  <c r="B50" i="8"/>
  <c r="B49" i="8"/>
  <c r="B47" i="8"/>
  <c r="B41" i="8"/>
  <c r="B40" i="8"/>
  <c r="B33" i="8"/>
  <c r="B32" i="8"/>
  <c r="B30" i="8"/>
  <c r="B24" i="8"/>
  <c r="B23" i="8"/>
  <c r="B16" i="8"/>
  <c r="B15" i="8"/>
  <c r="B13" i="8"/>
  <c r="B7" i="8"/>
  <c r="B162" i="8"/>
  <c r="B157" i="8"/>
  <c r="B159" i="8"/>
  <c r="A180" i="8"/>
  <c r="A179" i="8"/>
  <c r="B164" i="8"/>
  <c r="B163" i="8"/>
  <c r="B161" i="8"/>
  <c r="B188" i="8" s="1"/>
  <c r="B160" i="8"/>
  <c r="B158" i="8"/>
  <c r="B184" i="8" s="1"/>
  <c r="B150" i="8"/>
  <c r="B149" i="8"/>
  <c r="B148" i="8"/>
  <c r="B190" i="8" s="1"/>
  <c r="B147" i="8"/>
  <c r="B146" i="8"/>
  <c r="B187" i="8" s="1"/>
  <c r="B145" i="8"/>
  <c r="B144" i="8"/>
  <c r="B2" i="8"/>
  <c r="B180" i="8" s="1"/>
  <c r="B189" i="8" l="1"/>
  <c r="B42" i="2" s="1"/>
  <c r="B192" i="8"/>
  <c r="B59" i="2" s="1"/>
  <c r="B193" i="8"/>
  <c r="B186" i="8"/>
  <c r="B194" i="8"/>
  <c r="B183" i="8"/>
  <c r="B37" i="2" s="1"/>
  <c r="G55" i="2" l="1"/>
  <c r="F55" i="2"/>
  <c r="F161" i="3"/>
  <c r="B26" i="2" l="1"/>
  <c r="B40" i="2"/>
  <c r="B104" i="6"/>
  <c r="B178" i="6" l="1"/>
  <c r="F26" i="2"/>
  <c r="G26" i="2"/>
  <c r="B95" i="3"/>
  <c r="B83" i="6"/>
  <c r="B174" i="6" s="1"/>
  <c r="B68" i="2" l="1"/>
  <c r="L95" i="3"/>
  <c r="B62" i="2"/>
  <c r="M95" i="3" l="1"/>
  <c r="B60" i="2"/>
  <c r="G71" i="2"/>
  <c r="F71" i="2"/>
  <c r="F91" i="3"/>
  <c r="B49" i="2"/>
  <c r="F86" i="3"/>
  <c r="B157" i="3" l="1"/>
  <c r="F38" i="2"/>
  <c r="B48" i="2" l="1"/>
  <c r="B101" i="6"/>
  <c r="O39" i="3" s="1"/>
  <c r="O69" i="3" s="1"/>
  <c r="P69" i="3" s="1"/>
  <c r="B96" i="6"/>
  <c r="B52" i="2" s="1"/>
  <c r="B95" i="6"/>
  <c r="B159" i="6" s="1"/>
  <c r="B94" i="6"/>
  <c r="B154" i="6" s="1"/>
  <c r="B79" i="6"/>
  <c r="B161" i="6" s="1"/>
  <c r="B176" i="6" l="1"/>
  <c r="C178" i="6" s="1"/>
  <c r="O83" i="3"/>
  <c r="P83" i="3" s="1"/>
  <c r="B164" i="3"/>
  <c r="B29" i="2"/>
  <c r="G37" i="2"/>
  <c r="B162" i="6"/>
  <c r="B54" i="2"/>
  <c r="G54" i="2" s="1"/>
  <c r="G42" i="2"/>
  <c r="B66" i="2" l="1"/>
  <c r="H66" i="2" s="1"/>
  <c r="B12" i="9"/>
  <c r="C13" i="5"/>
  <c r="D13" i="5" s="1"/>
  <c r="F13" i="5" s="1"/>
  <c r="B166" i="3"/>
  <c r="B172" i="3" s="1"/>
  <c r="B87" i="3"/>
  <c r="P39" i="3"/>
  <c r="B39" i="2"/>
  <c r="C16" i="5"/>
  <c r="F29" i="2"/>
  <c r="G29" i="2"/>
  <c r="B182" i="3"/>
  <c r="F54" i="2"/>
  <c r="F37" i="2"/>
  <c r="C15" i="5"/>
  <c r="I87" i="3" l="1"/>
  <c r="J87" i="3" s="1"/>
  <c r="L87" i="3"/>
  <c r="M87" i="3" s="1"/>
  <c r="F87" i="3"/>
  <c r="F93" i="3" s="1"/>
  <c r="B155" i="3"/>
  <c r="G67" i="2"/>
  <c r="F67" i="2"/>
  <c r="M83" i="3" l="1"/>
  <c r="E28" i="4" s="1"/>
  <c r="C12" i="5"/>
  <c r="D12" i="5" s="1"/>
  <c r="F12" i="5" s="1"/>
  <c r="C11" i="5"/>
  <c r="D11" i="5" s="1"/>
  <c r="F11" i="5" s="1"/>
  <c r="B160" i="3"/>
  <c r="G46" i="2" l="1"/>
  <c r="F46" i="2"/>
  <c r="F4" i="9" l="1"/>
  <c r="E4" i="9"/>
  <c r="C4" i="9"/>
  <c r="F168" i="3" l="1"/>
  <c r="E12" i="9"/>
  <c r="A22" i="9"/>
  <c r="A4" i="4"/>
  <c r="F4" i="5"/>
  <c r="F3" i="5"/>
  <c r="D4" i="5"/>
  <c r="D3" i="5"/>
  <c r="B4" i="5"/>
  <c r="B3" i="5"/>
  <c r="A4" i="5"/>
  <c r="A3" i="5"/>
  <c r="E4" i="4"/>
  <c r="E3" i="4"/>
  <c r="D4" i="4"/>
  <c r="D3" i="4"/>
  <c r="B4" i="4"/>
  <c r="B3" i="4"/>
  <c r="A3" i="4"/>
  <c r="F4" i="3"/>
  <c r="G3" i="3"/>
  <c r="F3" i="3"/>
  <c r="B3" i="3"/>
  <c r="A3" i="3"/>
  <c r="B4" i="2"/>
  <c r="E4" i="2"/>
  <c r="F4" i="2"/>
  <c r="F3" i="2"/>
  <c r="E3" i="2"/>
  <c r="B3" i="2"/>
  <c r="A3" i="2"/>
  <c r="G66" i="2"/>
  <c r="F66" i="2"/>
  <c r="G62" i="2"/>
  <c r="F62" i="2"/>
  <c r="B100" i="3"/>
  <c r="L100" i="3" s="1"/>
  <c r="M100" i="3" s="1"/>
  <c r="B99" i="3"/>
  <c r="B98" i="3"/>
  <c r="B97" i="3"/>
  <c r="F95" i="3"/>
  <c r="B163" i="3"/>
  <c r="F163" i="3" s="1"/>
  <c r="A163" i="3"/>
  <c r="G57" i="2"/>
  <c r="F57" i="2"/>
  <c r="B171" i="3"/>
  <c r="F157" i="3"/>
  <c r="A96" i="3"/>
  <c r="G45" i="2"/>
  <c r="F45" i="2"/>
  <c r="A157" i="3"/>
  <c r="G38" i="2"/>
  <c r="B96" i="3"/>
  <c r="A1" i="5"/>
  <c r="C18" i="5"/>
  <c r="D18" i="5" s="1"/>
  <c r="F18" i="5" s="1"/>
  <c r="D15" i="5"/>
  <c r="F15" i="5" s="1"/>
  <c r="C17" i="5"/>
  <c r="D17" i="5" s="1"/>
  <c r="F17" i="5" s="1"/>
  <c r="B162" i="3"/>
  <c r="F162" i="3" s="1"/>
  <c r="F160" i="3"/>
  <c r="G21" i="2"/>
  <c r="G22" i="2" s="1"/>
  <c r="B158" i="3"/>
  <c r="F158" i="3" s="1"/>
  <c r="G40" i="2"/>
  <c r="G43" i="2"/>
  <c r="G44" i="2"/>
  <c r="G47" i="2"/>
  <c r="F48" i="2"/>
  <c r="F49" i="2"/>
  <c r="G50" i="2"/>
  <c r="G52" i="2"/>
  <c r="G53" i="2"/>
  <c r="G59" i="2"/>
  <c r="G60" i="2"/>
  <c r="G61" i="2"/>
  <c r="G64" i="2"/>
  <c r="G65" i="2"/>
  <c r="G68" i="2"/>
  <c r="G69" i="2"/>
  <c r="G70" i="2"/>
  <c r="F21" i="2"/>
  <c r="F22" i="2" s="1"/>
  <c r="F40" i="2"/>
  <c r="F42" i="2"/>
  <c r="F43" i="2"/>
  <c r="F44" i="2"/>
  <c r="F47" i="2"/>
  <c r="F50" i="2"/>
  <c r="F52" i="2"/>
  <c r="F53" i="2"/>
  <c r="F59" i="2"/>
  <c r="F60" i="2"/>
  <c r="F61" i="2"/>
  <c r="F63" i="2"/>
  <c r="F64" i="2"/>
  <c r="F65" i="2"/>
  <c r="F68" i="2"/>
  <c r="F69" i="2"/>
  <c r="F70" i="2"/>
  <c r="F12" i="3"/>
  <c r="F27" i="3"/>
  <c r="F32" i="3"/>
  <c r="A1" i="4"/>
  <c r="A1" i="2"/>
  <c r="F154" i="3"/>
  <c r="F167" i="3"/>
  <c r="A1" i="3"/>
  <c r="F34" i="3" l="1"/>
  <c r="B175" i="3"/>
  <c r="L96" i="3"/>
  <c r="M96" i="3" s="1"/>
  <c r="C14" i="5"/>
  <c r="D14" i="5" s="1"/>
  <c r="F14" i="5" s="1"/>
  <c r="E29" i="4"/>
  <c r="B33" i="2"/>
  <c r="F99" i="3"/>
  <c r="L99" i="3"/>
  <c r="M99" i="3" s="1"/>
  <c r="F97" i="3"/>
  <c r="L97" i="3"/>
  <c r="M97" i="3" s="1"/>
  <c r="F98" i="3"/>
  <c r="L98" i="3"/>
  <c r="M98" i="3" s="1"/>
  <c r="F96" i="3"/>
  <c r="F166" i="3"/>
  <c r="F181" i="3"/>
  <c r="F171" i="3"/>
  <c r="G39" i="2"/>
  <c r="F164" i="3"/>
  <c r="F155" i="3"/>
  <c r="D16" i="5"/>
  <c r="F16" i="5" s="1"/>
  <c r="G49" i="2"/>
  <c r="G48" i="2"/>
  <c r="F176" i="3"/>
  <c r="F39" i="2"/>
  <c r="F72" i="2" s="1"/>
  <c r="F177" i="3"/>
  <c r="F182" i="3"/>
  <c r="D20" i="5"/>
  <c r="F20" i="5" s="1"/>
  <c r="F172" i="3"/>
  <c r="E16" i="9"/>
  <c r="E15" i="9"/>
  <c r="F100" i="3"/>
  <c r="G72" i="2" l="1"/>
  <c r="G148" i="3" s="1"/>
  <c r="M103" i="3"/>
  <c r="B165" i="3"/>
  <c r="F103" i="3"/>
  <c r="F150" i="3" s="1"/>
  <c r="E30" i="4"/>
  <c r="E32" i="4" s="1"/>
  <c r="L103" i="3"/>
  <c r="G33" i="2"/>
  <c r="G34" i="2" s="1"/>
  <c r="F33" i="2"/>
  <c r="F34" i="2" s="1"/>
  <c r="F73" i="2" s="1"/>
  <c r="E17" i="9"/>
  <c r="E18" i="9" s="1"/>
  <c r="B22" i="9" s="1"/>
  <c r="D22" i="9" s="1"/>
  <c r="D24" i="9" s="1"/>
  <c r="G73" i="2" l="1"/>
  <c r="G76" i="2" s="1"/>
  <c r="E17" i="1"/>
  <c r="F165" i="3"/>
  <c r="C19" i="5"/>
  <c r="D19" i="5" s="1"/>
  <c r="D21" i="5" l="1"/>
  <c r="D22" i="5" s="1"/>
  <c r="F27" i="1" s="1"/>
  <c r="F28" i="1" s="1"/>
  <c r="F19" i="5"/>
  <c r="F22" i="5" s="1"/>
  <c r="F80" i="2"/>
  <c r="F81" i="2" s="1"/>
  <c r="F76" i="2"/>
  <c r="G80" i="2"/>
  <c r="G81" i="2" s="1"/>
  <c r="F20" i="1"/>
  <c r="E20" i="1" s="1"/>
  <c r="F173" i="3"/>
  <c r="E28" i="1" l="1"/>
  <c r="E27" i="1"/>
  <c r="F175" i="3" l="1"/>
  <c r="F184" i="3" s="1"/>
  <c r="F186" i="3" s="1"/>
  <c r="E16" i="1" l="1"/>
  <c r="E18" i="1" s="1"/>
  <c r="I12" i="3"/>
  <c r="I34" i="3" l="1"/>
  <c r="J12" i="3"/>
  <c r="J34" i="3" l="1"/>
  <c r="J83" i="3" s="1"/>
  <c r="E13" i="4" l="1"/>
  <c r="E9" i="4"/>
  <c r="E11" i="4"/>
  <c r="E12" i="4"/>
  <c r="E14" i="4"/>
  <c r="E10" i="4"/>
  <c r="F14" i="4" l="1"/>
  <c r="E24" i="4"/>
  <c r="F22" i="1" s="1"/>
  <c r="E22" i="1" s="1"/>
  <c r="E43" i="1" s="1"/>
  <c r="E34" i="4" l="1"/>
  <c r="A94" i="6" l="1"/>
  <c r="A51" i="6"/>
  <c r="A154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Marcus Schellhammer</author>
  </authors>
  <commentList>
    <comment ref="C6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Marcus Schellhammer:</t>
        </r>
        <r>
          <rPr>
            <sz val="9"/>
            <color indexed="81"/>
            <rFont val="Segoe UI"/>
            <family val="2"/>
          </rPr>
          <t xml:space="preserve">
P= Pufferstrecken</t>
        </r>
      </text>
    </comment>
    <comment ref="D6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Marcus Schellhammer:</t>
        </r>
        <r>
          <rPr>
            <sz val="9"/>
            <color indexed="81"/>
            <rFont val="Segoe UI"/>
            <family val="2"/>
          </rPr>
          <t xml:space="preserve">
Anzahl Pufferstrecken</t>
        </r>
      </text>
    </comment>
    <comment ref="C7" authorId="0" shapeId="0" xr:uid="{00000000-0006-0000-0000-000003000000}">
      <text>
        <r>
          <rPr>
            <b/>
            <sz val="10"/>
            <color indexed="81"/>
            <rFont val="Segoe UI"/>
            <family val="2"/>
          </rPr>
          <t>Marcus Schellhammer:
 P=</t>
        </r>
        <r>
          <rPr>
            <sz val="10"/>
            <color indexed="81"/>
            <rFont val="Segoe UI"/>
            <family val="2"/>
          </rPr>
          <t>Pufferstrecken</t>
        </r>
      </text>
    </comment>
    <comment ref="D7" authorId="0" shapeId="0" xr:uid="{00000000-0006-0000-0000-000004000000}">
      <text>
        <r>
          <rPr>
            <b/>
            <sz val="10"/>
            <color indexed="81"/>
            <rFont val="Segoe UI"/>
            <family val="2"/>
          </rPr>
          <t>Marcus Schellhammer:
Bei Singelline N=0
Bei Durchfahrt Anzahl V und Anzahl N eintragen</t>
        </r>
        <r>
          <rPr>
            <sz val="10"/>
            <color indexed="81"/>
            <rFont val="Segoe UI"/>
            <family val="2"/>
          </rPr>
          <t xml:space="preserve"> 
</t>
        </r>
      </text>
    </comment>
    <comment ref="E7" authorId="0" shapeId="0" xr:uid="{00000000-0006-0000-0000-000005000000}">
      <text>
        <r>
          <rPr>
            <b/>
            <sz val="9"/>
            <color indexed="81"/>
            <rFont val="Segoe UI"/>
            <family val="2"/>
          </rPr>
          <t>Marcus Schellhammer:</t>
        </r>
        <r>
          <rPr>
            <sz val="9"/>
            <color indexed="81"/>
            <rFont val="Segoe UI"/>
            <family val="2"/>
          </rPr>
          <t xml:space="preserve">
N= Nachpufferstrecken</t>
        </r>
      </text>
    </comment>
    <comment ref="C8" authorId="0" shapeId="0" xr:uid="{00000000-0006-0000-0000-000006000000}">
      <text>
        <r>
          <rPr>
            <b/>
            <sz val="9"/>
            <color indexed="81"/>
            <rFont val="Segoe UI"/>
            <family val="2"/>
          </rPr>
          <t>Marcus Schellhammer:</t>
        </r>
        <r>
          <rPr>
            <sz val="9"/>
            <color indexed="81"/>
            <rFont val="Segoe UI"/>
            <family val="2"/>
          </rPr>
          <t xml:space="preserve">
V= Vorpufferstrecken</t>
        </r>
      </text>
    </comment>
    <comment ref="D8" authorId="0" shapeId="0" xr:uid="{00000000-0006-0000-0000-000007000000}">
      <text>
        <r>
          <rPr>
            <b/>
            <sz val="10"/>
            <color indexed="81"/>
            <rFont val="Segoe UI"/>
            <family val="2"/>
          </rPr>
          <t>Marcus Schellhammer
Anzahl Vorpufferstrecken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8" authorId="0" shapeId="0" xr:uid="{00000000-0006-0000-0000-000008000000}">
      <text>
        <r>
          <rPr>
            <b/>
            <sz val="9"/>
            <color indexed="81"/>
            <rFont val="Segoe UI"/>
            <family val="2"/>
          </rPr>
          <t>Marcus Schellhammer:</t>
        </r>
        <r>
          <rPr>
            <sz val="9"/>
            <color indexed="81"/>
            <rFont val="Segoe UI"/>
            <family val="2"/>
          </rPr>
          <t xml:space="preserve">
N= Nachpufferstrecken</t>
        </r>
      </text>
    </comment>
    <comment ref="F8" authorId="0" shapeId="0" xr:uid="{00000000-0006-0000-0000-000009000000}">
      <text>
        <r>
          <rPr>
            <b/>
            <sz val="9"/>
            <color indexed="81"/>
            <rFont val="Segoe UI"/>
            <family val="2"/>
          </rPr>
          <t>Marcus Schellhammer
Anzahl Nachpufferstrecken</t>
        </r>
      </text>
    </comment>
    <comment ref="C9" authorId="0" shapeId="0" xr:uid="{00000000-0006-0000-0000-00000A000000}">
      <text>
        <r>
          <rPr>
            <b/>
            <sz val="9"/>
            <color indexed="81"/>
            <rFont val="Segoe UI"/>
            <family val="2"/>
          </rPr>
          <t>Marcus Schellhammer:</t>
        </r>
        <r>
          <rPr>
            <sz val="9"/>
            <color indexed="81"/>
            <rFont val="Segoe UI"/>
            <family val="2"/>
          </rPr>
          <t xml:space="preserve">
V= Vorpufferstrecken</t>
        </r>
      </text>
    </comment>
    <comment ref="E9" authorId="0" shapeId="0" xr:uid="{00000000-0006-0000-0000-00000B000000}">
      <text>
        <r>
          <rPr>
            <b/>
            <sz val="9"/>
            <color indexed="81"/>
            <rFont val="Segoe UI"/>
            <family val="2"/>
          </rPr>
          <t>Marcus Schellhammer:</t>
        </r>
        <r>
          <rPr>
            <sz val="9"/>
            <color indexed="81"/>
            <rFont val="Segoe UI"/>
            <family val="2"/>
          </rPr>
          <t xml:space="preserve">
N= Nachpufferstrecken</t>
        </r>
      </text>
    </comment>
    <comment ref="C10" authorId="0" shapeId="0" xr:uid="{00000000-0006-0000-0000-00000C000000}">
      <text>
        <r>
          <rPr>
            <b/>
            <sz val="9"/>
            <color indexed="81"/>
            <rFont val="Segoe UI"/>
            <family val="2"/>
          </rPr>
          <t>Marcus Schellhammer:</t>
        </r>
        <r>
          <rPr>
            <sz val="9"/>
            <color indexed="81"/>
            <rFont val="Segoe UI"/>
            <family val="2"/>
          </rPr>
          <t xml:space="preserve">
P= Pufferstrecken</t>
        </r>
      </text>
    </comment>
    <comment ref="D10" authorId="0" shapeId="0" xr:uid="{00000000-0006-0000-0000-00000D000000}">
      <text>
        <r>
          <rPr>
            <b/>
            <sz val="9"/>
            <color indexed="81"/>
            <rFont val="Segoe UI"/>
            <family val="2"/>
          </rPr>
          <t>Marcus Schellhammer:</t>
        </r>
        <r>
          <rPr>
            <sz val="9"/>
            <color indexed="81"/>
            <rFont val="Segoe UI"/>
            <family val="2"/>
          </rPr>
          <t xml:space="preserve">
Anzahl der Pufferstrecken pro Puffer eintragen</t>
        </r>
      </text>
    </comment>
    <comment ref="C12" authorId="0" shapeId="0" xr:uid="{00000000-0006-0000-0000-00000E000000}">
      <text>
        <r>
          <rPr>
            <b/>
            <sz val="9"/>
            <color indexed="81"/>
            <rFont val="Segoe UI"/>
            <family val="2"/>
          </rPr>
          <t>Marcus Schellhammer:</t>
        </r>
        <r>
          <rPr>
            <sz val="9"/>
            <color indexed="81"/>
            <rFont val="Segoe UI"/>
            <family val="2"/>
          </rPr>
          <t xml:space="preserve">
W=Wendlungen</t>
        </r>
      </text>
    </comment>
    <comment ref="D12" authorId="0" shapeId="0" xr:uid="{00000000-0006-0000-0000-00000F000000}">
      <text>
        <r>
          <rPr>
            <b/>
            <sz val="9"/>
            <color indexed="81"/>
            <rFont val="Segoe UI"/>
            <family val="2"/>
          </rPr>
          <t>Marcus Schellhammer:</t>
        </r>
        <r>
          <rPr>
            <sz val="9"/>
            <color indexed="81"/>
            <rFont val="Segoe UI"/>
            <family val="2"/>
          </rPr>
          <t xml:space="preserve">
Anzahl der Wendlungen pro Turm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Marcus Schellhammer</author>
    <author>Simon Schmutzler</author>
  </authors>
  <commentList>
    <comment ref="A27" authorId="0" shapeId="0" xr:uid="{00000000-0006-0000-0100-000001000000}">
      <text>
        <r>
          <rPr>
            <b/>
            <sz val="9"/>
            <color indexed="81"/>
            <rFont val="Segoe UI"/>
            <family val="2"/>
          </rPr>
          <t>Marcus Schellhammer:</t>
        </r>
        <r>
          <rPr>
            <sz val="9"/>
            <color indexed="81"/>
            <rFont val="Segoe UI"/>
            <family val="2"/>
          </rPr>
          <t xml:space="preserve">
Eingabe bei Flex-A Premium in Zelle </t>
        </r>
        <r>
          <rPr>
            <b/>
            <sz val="9"/>
            <color indexed="81"/>
            <rFont val="Segoe UI"/>
            <family val="2"/>
          </rPr>
          <t>"B25" ja</t>
        </r>
        <r>
          <rPr>
            <sz val="9"/>
            <color indexed="81"/>
            <rFont val="Segoe UI"/>
            <family val="2"/>
          </rPr>
          <t xml:space="preserve"> eintragen</t>
        </r>
      </text>
    </comment>
    <comment ref="B27" authorId="0" shapeId="0" xr:uid="{00000000-0006-0000-0100-000002000000}">
      <text>
        <r>
          <rPr>
            <b/>
            <sz val="9"/>
            <color indexed="81"/>
            <rFont val="Segoe UI"/>
            <family val="2"/>
          </rPr>
          <t>Marcus Schellhammer:</t>
        </r>
        <r>
          <rPr>
            <sz val="9"/>
            <color indexed="81"/>
            <rFont val="Segoe UI"/>
            <family val="2"/>
          </rPr>
          <t xml:space="preserve">
Eintrag ja = für automatische Umfahrung
Nein = Flex-A ohne Umfahrung
</t>
        </r>
      </text>
    </comment>
    <comment ref="A28" authorId="0" shapeId="0" xr:uid="{00000000-0006-0000-0100-000003000000}">
      <text>
        <r>
          <rPr>
            <b/>
            <sz val="9"/>
            <color indexed="81"/>
            <rFont val="Segoe UI"/>
            <family val="2"/>
          </rPr>
          <t xml:space="preserve">Marcus Schellhammer:
</t>
        </r>
        <r>
          <rPr>
            <sz val="9"/>
            <color indexed="81"/>
            <rFont val="Segoe UI"/>
            <family val="2"/>
          </rPr>
          <t xml:space="preserve">Ist die RSM in der Mitte mit einem zusätzlichen Getriebe ausgestatten ändert sich die Anzahl an Seilzugschaltern, Antrieben und Sensorik. 
Eingabe dazu muß in Zelle </t>
        </r>
        <r>
          <rPr>
            <b/>
            <sz val="9"/>
            <color indexed="81"/>
            <rFont val="Segoe UI"/>
            <family val="2"/>
          </rPr>
          <t>"B26" ja</t>
        </r>
        <r>
          <rPr>
            <sz val="9"/>
            <color indexed="81"/>
            <rFont val="Segoe UI"/>
            <family val="2"/>
          </rPr>
          <t xml:space="preserve"> eingetragen werden</t>
        </r>
      </text>
    </comment>
    <comment ref="B28" authorId="0" shapeId="0" xr:uid="{00000000-0006-0000-0100-000004000000}">
      <text>
        <r>
          <rPr>
            <b/>
            <sz val="9"/>
            <color indexed="81"/>
            <rFont val="Segoe UI"/>
            <family val="2"/>
          </rPr>
          <t>Marcus Schellhammer:</t>
        </r>
        <r>
          <rPr>
            <sz val="9"/>
            <color indexed="81"/>
            <rFont val="Segoe UI"/>
            <family val="2"/>
          </rPr>
          <t xml:space="preserve">
Eintrag ja =RSM geteilt (Getriebe in der Mitte)
Nein = RSM normal</t>
        </r>
      </text>
    </comment>
    <comment ref="A29" authorId="0" shapeId="0" xr:uid="{00000000-0006-0000-0100-000005000000}">
      <text>
        <r>
          <rPr>
            <b/>
            <sz val="9"/>
            <color indexed="81"/>
            <rFont val="Segoe UI"/>
            <family val="2"/>
          </rPr>
          <t xml:space="preserve">Marcus Schellhammer:
</t>
        </r>
        <r>
          <rPr>
            <sz val="9"/>
            <color indexed="81"/>
            <rFont val="Segoe UI"/>
            <family val="2"/>
          </rPr>
          <t xml:space="preserve">Einfahrt links und rechts muß in Zelle </t>
        </r>
        <r>
          <rPr>
            <b/>
            <sz val="9"/>
            <color indexed="81"/>
            <rFont val="Segoe UI"/>
            <family val="2"/>
          </rPr>
          <t>"B27" ja</t>
        </r>
        <r>
          <rPr>
            <sz val="9"/>
            <color indexed="81"/>
            <rFont val="Segoe UI"/>
            <family val="2"/>
          </rPr>
          <t xml:space="preserve"> eingetragen werden.
Ist die Einfahrt über eine Weiche </t>
        </r>
        <r>
          <rPr>
            <b/>
            <sz val="9"/>
            <color indexed="81"/>
            <rFont val="Segoe UI"/>
            <family val="2"/>
          </rPr>
          <t>= "B27"</t>
        </r>
        <r>
          <rPr>
            <sz val="9"/>
            <color indexed="81"/>
            <rFont val="Segoe UI"/>
            <family val="2"/>
          </rPr>
          <t xml:space="preserve"> </t>
        </r>
        <r>
          <rPr>
            <b/>
            <sz val="9"/>
            <color indexed="81"/>
            <rFont val="Segoe UI"/>
            <family val="2"/>
          </rPr>
          <t>nein</t>
        </r>
      </text>
    </comment>
    <comment ref="B29" authorId="0" shapeId="0" xr:uid="{00000000-0006-0000-0100-000006000000}">
      <text>
        <r>
          <rPr>
            <b/>
            <sz val="9"/>
            <color indexed="81"/>
            <rFont val="Segoe UI"/>
            <family val="2"/>
          </rPr>
          <t>Marcus Schellhammer:</t>
        </r>
        <r>
          <rPr>
            <sz val="9"/>
            <color indexed="81"/>
            <rFont val="Segoe UI"/>
            <family val="2"/>
          </rPr>
          <t xml:space="preserve">
Eintrag ja =RSM geteilt (Getriebe in der Mitte)
Nein = RSM normal</t>
        </r>
      </text>
    </comment>
    <comment ref="A31" authorId="0" shapeId="0" xr:uid="{00000000-0006-0000-0100-000007000000}">
      <text>
        <r>
          <rPr>
            <b/>
            <sz val="9"/>
            <color indexed="81"/>
            <rFont val="Segoe UI"/>
            <family val="2"/>
          </rPr>
          <t>Marcus Schellhammer:</t>
        </r>
        <r>
          <rPr>
            <sz val="9"/>
            <color indexed="81"/>
            <rFont val="Segoe UI"/>
            <family val="2"/>
          </rPr>
          <t xml:space="preserve">
z.B. zusätzliche Sesnoren für Wechsel/Begegnungsstrecken oder auf Hauptstrecke</t>
        </r>
      </text>
    </comment>
    <comment ref="B39" authorId="0" shapeId="0" xr:uid="{00000000-0006-0000-0100-000008000000}">
      <text>
        <r>
          <rPr>
            <b/>
            <sz val="9"/>
            <color indexed="81"/>
            <rFont val="Segoe UI"/>
            <family val="2"/>
          </rPr>
          <t>Marcus Schellhammer:</t>
        </r>
        <r>
          <rPr>
            <sz val="9"/>
            <color indexed="81"/>
            <rFont val="Segoe UI"/>
            <family val="2"/>
          </rPr>
          <t xml:space="preserve">
Berechnung= Abhängig von Eingabe </t>
        </r>
        <r>
          <rPr>
            <b/>
            <sz val="9"/>
            <color indexed="81"/>
            <rFont val="Segoe UI"/>
            <family val="2"/>
          </rPr>
          <t xml:space="preserve">Zelle B5 </t>
        </r>
        <r>
          <rPr>
            <sz val="9"/>
            <color indexed="81"/>
            <rFont val="Segoe UI"/>
            <family val="2"/>
          </rPr>
          <t xml:space="preserve">"Automatische Umfahrung" ja/nein und Eingabe </t>
        </r>
        <r>
          <rPr>
            <b/>
            <sz val="9"/>
            <color indexed="81"/>
            <rFont val="Segoe UI"/>
            <family val="2"/>
          </rPr>
          <t>Zelle B6</t>
        </r>
        <r>
          <rPr>
            <sz val="9"/>
            <color indexed="81"/>
            <rFont val="Segoe UI"/>
            <family val="2"/>
          </rPr>
          <t xml:space="preserve"> "zusätzliches Getriebe un der Mitte" ja/nein wird die Anzahl der Seilzugschalter berechnet
</t>
        </r>
        <r>
          <rPr>
            <b/>
            <sz val="9"/>
            <color indexed="81"/>
            <rFont val="Segoe UI"/>
            <family val="2"/>
          </rPr>
          <t>Beide Zellen "nein" wird kein Seilzugschalter berechnet</t>
        </r>
      </text>
    </comment>
    <comment ref="B40" authorId="0" shapeId="0" xr:uid="{00000000-0006-0000-0100-000009000000}">
      <text>
        <r>
          <rPr>
            <b/>
            <sz val="9"/>
            <color indexed="81"/>
            <rFont val="Segoe UI"/>
            <family val="2"/>
          </rPr>
          <t>Marcus Schellhammer:</t>
        </r>
        <r>
          <rPr>
            <sz val="9"/>
            <color indexed="81"/>
            <rFont val="Segoe UI"/>
            <family val="2"/>
          </rPr>
          <t xml:space="preserve">
Berechnung= Abhängig von Eingabe </t>
        </r>
        <r>
          <rPr>
            <b/>
            <sz val="9"/>
            <color indexed="81"/>
            <rFont val="Segoe UI"/>
            <family val="2"/>
          </rPr>
          <t xml:space="preserve">Zelle B5 </t>
        </r>
        <r>
          <rPr>
            <sz val="9"/>
            <color indexed="81"/>
            <rFont val="Segoe UI"/>
            <family val="2"/>
          </rPr>
          <t xml:space="preserve">"Automatische Umfahrung" ja/nein und Eingabe </t>
        </r>
        <r>
          <rPr>
            <b/>
            <sz val="9"/>
            <color indexed="81"/>
            <rFont val="Segoe UI"/>
            <family val="2"/>
          </rPr>
          <t>Zelle B6</t>
        </r>
        <r>
          <rPr>
            <sz val="9"/>
            <color indexed="81"/>
            <rFont val="Segoe UI"/>
            <family val="2"/>
          </rPr>
          <t xml:space="preserve"> "zusätzliches Getriebe un der Mitte" ja/nein wird die Anzahl der Seilzugschalter berechnet
</t>
        </r>
        <r>
          <rPr>
            <b/>
            <sz val="9"/>
            <color indexed="81"/>
            <rFont val="Segoe UI"/>
            <family val="2"/>
          </rPr>
          <t>Beide Zellen "nein" wird kein Seilzugschalter berechnet</t>
        </r>
      </text>
    </comment>
    <comment ref="B48" authorId="0" shapeId="0" xr:uid="{00000000-0006-0000-0100-00000A000000}">
      <text>
        <r>
          <rPr>
            <b/>
            <sz val="9"/>
            <color indexed="81"/>
            <rFont val="Segoe UI"/>
            <family val="2"/>
          </rPr>
          <t>Marcus Schellhammer:</t>
        </r>
        <r>
          <rPr>
            <sz val="9"/>
            <color indexed="81"/>
            <rFont val="Segoe UI"/>
            <family val="2"/>
          </rPr>
          <t xml:space="preserve">
Eintrag ja = DURCHFAHRT
Nein = SINGLELINE
</t>
        </r>
      </text>
    </comment>
    <comment ref="B65" authorId="0" shapeId="0" xr:uid="{00000000-0006-0000-0100-00000B000000}">
      <text>
        <r>
          <rPr>
            <b/>
            <sz val="9"/>
            <color indexed="81"/>
            <rFont val="Segoe UI"/>
            <family val="2"/>
          </rPr>
          <t>Marcus Schellhammer:</t>
        </r>
        <r>
          <rPr>
            <sz val="9"/>
            <color indexed="81"/>
            <rFont val="Segoe UI"/>
            <family val="2"/>
          </rPr>
          <t xml:space="preserve">
=$B$23*ABRUNDEN($B$24/2;0)+C36</t>
        </r>
      </text>
    </comment>
    <comment ref="A167" authorId="1" shapeId="0" xr:uid="{1241BA88-DE59-4662-8198-0C24B7652DB1}">
      <text>
        <r>
          <rPr>
            <b/>
            <sz val="9"/>
            <color indexed="81"/>
            <rFont val="Segoe UI"/>
            <charset val="1"/>
          </rPr>
          <t>Simon Schmutzler:</t>
        </r>
        <r>
          <rPr>
            <sz val="9"/>
            <color indexed="81"/>
            <rFont val="Segoe UI"/>
            <charset val="1"/>
          </rPr>
          <t xml:space="preserve">
Wird nicht in der Teilebestellung berücksichtigt, daher im Mengengerüst nicht relevant</t>
        </r>
      </text>
    </comment>
    <comment ref="C178" authorId="0" shapeId="0" xr:uid="{00000000-0006-0000-0100-00000C000000}">
      <text>
        <r>
          <rPr>
            <b/>
            <sz val="9"/>
            <color indexed="81"/>
            <rFont val="Segoe UI"/>
            <family val="2"/>
          </rPr>
          <t>Marcus Schellhammer:</t>
        </r>
        <r>
          <rPr>
            <sz val="9"/>
            <color indexed="81"/>
            <rFont val="Segoe UI"/>
            <family val="2"/>
          </rPr>
          <t xml:space="preserve">
Gesamtanzahl der Antriebe Zellen B157:B163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Marcus Schellhammer</author>
  </authors>
  <commentList>
    <comment ref="H13" authorId="0" shapeId="0" xr:uid="{00000000-0006-0000-0200-000001000000}">
      <text>
        <r>
          <rPr>
            <b/>
            <sz val="9"/>
            <color indexed="81"/>
            <rFont val="Segoe UI"/>
            <family val="2"/>
          </rPr>
          <t>Marcus Schellhammer:</t>
        </r>
        <r>
          <rPr>
            <sz val="9"/>
            <color indexed="81"/>
            <rFont val="Segoe UI"/>
            <family val="2"/>
          </rPr>
          <t xml:space="preserve">
manuell geändert
</t>
        </r>
      </text>
    </comment>
    <comment ref="A29" authorId="0" shapeId="0" xr:uid="{00000000-0006-0000-0200-000002000000}">
      <text>
        <r>
          <rPr>
            <b/>
            <sz val="9"/>
            <color indexed="81"/>
            <rFont val="Segoe UI"/>
            <family val="2"/>
          </rPr>
          <t>Marcus Schellhammer:</t>
        </r>
        <r>
          <rPr>
            <sz val="9"/>
            <color indexed="81"/>
            <rFont val="Segoe UI"/>
            <family val="2"/>
          </rPr>
          <t xml:space="preserve">
A) 400V AC: Sicherungsautomat 3- pol +Hilfsschalter +Klemmen 
B) 24V DC: Mico + Klemmen
</t>
        </r>
      </text>
    </comment>
    <comment ref="A33" authorId="0" shapeId="0" xr:uid="{00000000-0006-0000-0200-000003000000}">
      <text>
        <r>
          <rPr>
            <b/>
            <sz val="9"/>
            <color indexed="81"/>
            <rFont val="Segoe UI"/>
            <family val="2"/>
          </rPr>
          <t>Marcus Schellhammer:</t>
        </r>
        <r>
          <rPr>
            <sz val="9"/>
            <color indexed="81"/>
            <rFont val="Segoe UI"/>
            <family val="2"/>
          </rPr>
          <t xml:space="preserve">
Bildschirm 27"
Tastatur, Maus
</t>
        </r>
      </text>
    </comment>
    <comment ref="N36" authorId="0" shapeId="0" xr:uid="{00000000-0006-0000-0200-000004000000}">
      <text>
        <r>
          <rPr>
            <b/>
            <sz val="9"/>
            <color indexed="81"/>
            <rFont val="Segoe UI"/>
            <family val="2"/>
          </rPr>
          <t>Marcus Schellhammer:</t>
        </r>
        <r>
          <rPr>
            <sz val="9"/>
            <color indexed="81"/>
            <rFont val="Segoe UI"/>
            <family val="2"/>
          </rPr>
          <t xml:space="preserve">
Anzahl der vorgesehenen Motorstarter im Unterverteiler</t>
        </r>
      </text>
    </comment>
    <comment ref="O36" authorId="0" shapeId="0" xr:uid="{00000000-0006-0000-0200-000005000000}">
      <text>
        <r>
          <rPr>
            <b/>
            <sz val="9"/>
            <color indexed="81"/>
            <rFont val="Segoe UI"/>
            <family val="2"/>
          </rPr>
          <t>Marcus Schellhammer:</t>
        </r>
        <r>
          <rPr>
            <sz val="9"/>
            <color indexed="81"/>
            <rFont val="Segoe UI"/>
            <family val="2"/>
          </rPr>
          <t xml:space="preserve">
Anzahl der vorgesehenen Motorstarter im Unterverteiler</t>
        </r>
      </text>
    </comment>
    <comment ref="H40" authorId="0" shapeId="0" xr:uid="{00000000-0006-0000-0200-000006000000}">
      <text>
        <r>
          <rPr>
            <b/>
            <sz val="9"/>
            <color indexed="81"/>
            <rFont val="Segoe UI"/>
            <family val="2"/>
          </rPr>
          <t>Marcus Schellhammer:</t>
        </r>
        <r>
          <rPr>
            <sz val="9"/>
            <color indexed="81"/>
            <rFont val="Segoe UI"/>
            <family val="2"/>
          </rPr>
          <t xml:space="preserve">
Standard 480 min. 
am 13.01.2021 
absprache mit T. Schiller</t>
        </r>
      </text>
    </comment>
    <comment ref="P75" authorId="0" shapeId="0" xr:uid="{00000000-0006-0000-0200-000007000000}">
      <text>
        <r>
          <rPr>
            <b/>
            <sz val="9"/>
            <color indexed="81"/>
            <rFont val="Segoe UI"/>
            <family val="2"/>
          </rPr>
          <t>Marcus Schellhammer:</t>
        </r>
        <r>
          <rPr>
            <sz val="9"/>
            <color indexed="81"/>
            <rFont val="Segoe UI"/>
            <family val="2"/>
          </rPr>
          <t xml:space="preserve">
Gesamtanzahl Motorstarter in Untervereteiler</t>
        </r>
      </text>
    </comment>
    <comment ref="P79" authorId="0" shapeId="0" xr:uid="{00000000-0006-0000-0200-000008000000}">
      <text>
        <r>
          <rPr>
            <b/>
            <sz val="9"/>
            <color indexed="81"/>
            <rFont val="Segoe UI"/>
            <family val="2"/>
          </rPr>
          <t>Marcus Schellhammer:</t>
        </r>
        <r>
          <rPr>
            <sz val="9"/>
            <color indexed="81"/>
            <rFont val="Segoe UI"/>
            <family val="2"/>
          </rPr>
          <t xml:space="preserve">
Gesamtanzahl Motorstarter in Untervereteiler</t>
        </r>
      </text>
    </comment>
    <comment ref="P83" authorId="0" shapeId="0" xr:uid="{00000000-0006-0000-0200-000009000000}">
      <text>
        <r>
          <rPr>
            <b/>
            <sz val="9"/>
            <color indexed="81"/>
            <rFont val="Segoe UI"/>
            <family val="2"/>
          </rPr>
          <t>Marcus Schellhammer:</t>
        </r>
        <r>
          <rPr>
            <sz val="9"/>
            <color indexed="81"/>
            <rFont val="Segoe UI"/>
            <family val="2"/>
          </rPr>
          <t xml:space="preserve">
Gesamtanzahl Motorstarter in Untervereteiler</t>
        </r>
      </text>
    </comment>
    <comment ref="A91" authorId="0" shapeId="0" xr:uid="{00000000-0006-0000-0200-00000A000000}">
      <text>
        <r>
          <rPr>
            <b/>
            <sz val="9"/>
            <color indexed="81"/>
            <rFont val="Segoe UI"/>
            <family val="2"/>
          </rPr>
          <t>Marcus Schellhammer:</t>
        </r>
        <r>
          <rPr>
            <sz val="9"/>
            <color indexed="81"/>
            <rFont val="Segoe UI"/>
            <family val="2"/>
          </rPr>
          <t xml:space="preserve">
Sind bereits im Unterverteiler berücksichtigt.
</t>
        </r>
      </text>
    </comment>
    <comment ref="A156" authorId="0" shapeId="0" xr:uid="{00000000-0006-0000-0200-00000B000000}">
      <text>
        <r>
          <rPr>
            <b/>
            <sz val="9"/>
            <color indexed="81"/>
            <rFont val="Segoe UI"/>
            <family val="2"/>
          </rPr>
          <t>Marcus Schellhammer:</t>
        </r>
        <r>
          <rPr>
            <sz val="9"/>
            <color indexed="81"/>
            <rFont val="Segoe UI"/>
            <family val="2"/>
          </rPr>
          <t xml:space="preserve">
Umrüstung vorhandener Sesnorhalter für AP60 auf AP 110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Marcus Schellhammer</author>
  </authors>
  <commentList>
    <comment ref="D73" authorId="0" shapeId="0" xr:uid="{00000000-0006-0000-0300-000001000000}">
      <text>
        <r>
          <rPr>
            <b/>
            <sz val="9"/>
            <color indexed="81"/>
            <rFont val="Segoe UI"/>
            <family val="2"/>
          </rPr>
          <t>Marcus Schellhammer:</t>
        </r>
        <r>
          <rPr>
            <sz val="9"/>
            <color indexed="81"/>
            <rFont val="Segoe UI"/>
            <family val="2"/>
          </rPr>
          <t xml:space="preserve">
Reserve eintragen (Standard = 5%)
</t>
        </r>
      </text>
    </comment>
  </commentList>
</comments>
</file>

<file path=xl/sharedStrings.xml><?xml version="1.0" encoding="utf-8"?>
<sst xmlns="http://schemas.openxmlformats.org/spreadsheetml/2006/main" count="1050" uniqueCount="491">
  <si>
    <t xml:space="preserve"> </t>
  </si>
  <si>
    <t>Bedienelemente Steuerschrank:</t>
  </si>
  <si>
    <t>Eingänge</t>
  </si>
  <si>
    <t>Ausgänge</t>
  </si>
  <si>
    <t>Summe E/A Steuerschrank</t>
  </si>
  <si>
    <t>Ermittlung Mengengerüst</t>
  </si>
  <si>
    <t>Anzahl</t>
  </si>
  <si>
    <t>Eingang</t>
  </si>
  <si>
    <t>Ausgang</t>
  </si>
  <si>
    <t>S.E.</t>
  </si>
  <si>
    <t>S.A.</t>
  </si>
  <si>
    <t>Schaltschrank</t>
  </si>
  <si>
    <t>St.</t>
  </si>
  <si>
    <t>Einzelpreis</t>
  </si>
  <si>
    <t>Gesamtpreis</t>
  </si>
  <si>
    <t>Summe SPS-Hardware</t>
  </si>
  <si>
    <t>m</t>
  </si>
  <si>
    <t>Summe Schaltschrank</t>
  </si>
  <si>
    <t>Erstellen E-Montageunterlagen</t>
  </si>
  <si>
    <t>Material</t>
  </si>
  <si>
    <t>Input</t>
  </si>
  <si>
    <t>KOSTENART</t>
  </si>
  <si>
    <t>ELEMENT</t>
  </si>
  <si>
    <t>AUFWAND</t>
  </si>
  <si>
    <t>Geprüft:</t>
  </si>
  <si>
    <t>Leuchtdrucktaster "Start nach Störung"</t>
  </si>
  <si>
    <t>proj. E/A</t>
  </si>
  <si>
    <t>Sensorkabel (je 20m)</t>
  </si>
  <si>
    <t>Erdung</t>
  </si>
  <si>
    <t xml:space="preserve">Drucktaster "Anlage AUS" </t>
  </si>
  <si>
    <t>Leuchtdrucktaster "Anlage EIN"</t>
  </si>
  <si>
    <t>Weiche</t>
  </si>
  <si>
    <t>Bedienstation 4-fach</t>
  </si>
  <si>
    <t>Sammeleingang "Überstrom"</t>
  </si>
  <si>
    <t>Sammeleingang "Not Aus"</t>
  </si>
  <si>
    <t>Sammeleingang "Druckluft fehlt"</t>
  </si>
  <si>
    <t>gemeinsame Wendung</t>
  </si>
  <si>
    <t>Bedienstation 6-fach</t>
  </si>
  <si>
    <t>Bedienstation 3-fach</t>
  </si>
  <si>
    <t>Pflichtenheft Autom.Schnittstellen(Kunde)</t>
  </si>
  <si>
    <t>Hardwareplanung</t>
  </si>
  <si>
    <t>Abstimmung mit E-Werkstatt</t>
  </si>
  <si>
    <t>Test und Installation</t>
  </si>
  <si>
    <t>PC-Installation</t>
  </si>
  <si>
    <t>Oberfläche Simulation</t>
  </si>
  <si>
    <t>Dokumentation</t>
  </si>
  <si>
    <t>Bedienerhandbuch</t>
  </si>
  <si>
    <t>SPS-Doku</t>
  </si>
  <si>
    <t>PC-Doku</t>
  </si>
  <si>
    <t>Elektrowerkstatt</t>
  </si>
  <si>
    <t>Summe Dienstleistung in LL</t>
  </si>
  <si>
    <t>x</t>
  </si>
  <si>
    <t>Montage elektrisch</t>
  </si>
  <si>
    <t>Inbetriebnahmetest Hardware durch Montage</t>
  </si>
  <si>
    <t>Anlagenbetreuung durch Montage</t>
  </si>
  <si>
    <t>Schulung vor Ort beim Kunden</t>
  </si>
  <si>
    <t>Abnahme</t>
  </si>
  <si>
    <t>PC-Inbetriebsetzung</t>
  </si>
  <si>
    <t>Bedienstation</t>
  </si>
  <si>
    <t>Vormontage im Haus</t>
  </si>
  <si>
    <t>Eingänge / Ausgänge - Ermittlung</t>
  </si>
  <si>
    <t>Material in LL</t>
  </si>
  <si>
    <t>Material vor Ort</t>
  </si>
  <si>
    <t>Std</t>
  </si>
  <si>
    <t>€ / Std</t>
  </si>
  <si>
    <t>Summe Material vor Ort</t>
  </si>
  <si>
    <t>bis 1.000 E/A</t>
  </si>
  <si>
    <t>Movimot FU mit Anschaltung</t>
  </si>
  <si>
    <t>Reserve</t>
  </si>
  <si>
    <t>Summe Bedienstationen</t>
  </si>
  <si>
    <t>Bedienstation 4-fach kpl.</t>
  </si>
  <si>
    <t>Bedienstation 3-fach kpl.</t>
  </si>
  <si>
    <t>Bedienstation 1-fach kpl.</t>
  </si>
  <si>
    <t>Artikel-Nr.</t>
  </si>
  <si>
    <t>Summe Komponenten</t>
  </si>
  <si>
    <t>Pro Einheit</t>
  </si>
  <si>
    <t>Einheit*Menge</t>
  </si>
  <si>
    <t>Summe Material in LL</t>
  </si>
  <si>
    <t>HARDWARE GESAMT</t>
  </si>
  <si>
    <t xml:space="preserve">1. Es sind keine Kundenvorschriften berücksichtigt! </t>
  </si>
  <si>
    <t>SPS-Anlagenbetreuung</t>
  </si>
  <si>
    <t>PC-Anlagenbetreuung</t>
  </si>
  <si>
    <t>GESAMT</t>
  </si>
  <si>
    <t>SUMME</t>
  </si>
  <si>
    <t>Bedienstation 2-fach kpl.</t>
  </si>
  <si>
    <t>Stopper-/Weichenkabel (je 5m)</t>
  </si>
  <si>
    <t>Sammeleingang "Antriebe abheben"</t>
  </si>
  <si>
    <t>Stopper</t>
  </si>
  <si>
    <t>Leuchtdrucktaster "Laufzeitfehler"</t>
  </si>
  <si>
    <t>Drucktaster "Reset"</t>
  </si>
  <si>
    <t>RA, unidirektional</t>
  </si>
  <si>
    <t>RA, bidirektional</t>
  </si>
  <si>
    <t>RA, unidirektional mit gemeinsamer Wendung</t>
  </si>
  <si>
    <t>RA, unidirektional, abhebbar</t>
  </si>
  <si>
    <t>Doppelstreckenantrieb,gemeinsame Wendung</t>
  </si>
  <si>
    <t>RA, bidirektional, abhebbar</t>
  </si>
  <si>
    <t>Doppelstreckenantrieb</t>
  </si>
  <si>
    <t>RA, bidirektional, abhebbar, gemeins. Wend.</t>
  </si>
  <si>
    <t>gemeinsame Weichenrückstellung</t>
  </si>
  <si>
    <t>Ventil RA (3/2), abhebbar</t>
  </si>
  <si>
    <t>Ventil Doppelstreckenantrieb (5/2), abhebbar</t>
  </si>
  <si>
    <t>Blitzleuchte "Störung"</t>
  </si>
  <si>
    <t>KALKULATION SPINNEREI TYP FLEXIBLE UND CONTINOUS A</t>
  </si>
  <si>
    <t>Seilzugschalter</t>
  </si>
  <si>
    <t>Elektromontagezeiten</t>
  </si>
  <si>
    <t>Tätigkeit</t>
  </si>
  <si>
    <t>Stunden</t>
  </si>
  <si>
    <t>Einheit</t>
  </si>
  <si>
    <t>Motor verdrahten und anschliessen (h/Motor)</t>
  </si>
  <si>
    <t>Tableau befestigen und anschliessen (h/St.)</t>
  </si>
  <si>
    <t>Unterverteiler montieren (h/St.)</t>
  </si>
  <si>
    <t>Weiche/Stopper anschliessen (h/St.)</t>
  </si>
  <si>
    <t>Blitzleuchte</t>
  </si>
  <si>
    <t>SPS-Test im Haus / Simulation</t>
  </si>
  <si>
    <t>Schnittstelle Flyer/Putzmaschine (h/St.)</t>
  </si>
  <si>
    <t>Seilzugschalter installieren (h/St.)</t>
  </si>
  <si>
    <t>Blitzleuchte installieren (h/St.)</t>
  </si>
  <si>
    <t>Schaltschrank aufstellen (h/St.)</t>
  </si>
  <si>
    <t>Antrieb unidirektional (Schütz)</t>
  </si>
  <si>
    <t>Antrieb bidirektional (Schütz)</t>
  </si>
  <si>
    <t>Antrieb unidirektional (Halbleiter)</t>
  </si>
  <si>
    <t>Antrieb bidirektional (Halbleiter)</t>
  </si>
  <si>
    <t>Sensor Traversenabfrage, optisch</t>
  </si>
  <si>
    <t>Projekt</t>
  </si>
  <si>
    <t>RSM</t>
  </si>
  <si>
    <t>Breite</t>
  </si>
  <si>
    <t>DEZENTRALER AUFBAU DER SPS BEI SIEMENS S7-300/400 MIT ASI</t>
  </si>
  <si>
    <t>Anzahl benötigter ASI-Module (höherer Wert ist einzusetzen)</t>
  </si>
  <si>
    <t>Anzahl ASI/Profibus Gateways (bei Anschluss von 26 ASI-Modulen)</t>
  </si>
  <si>
    <t>(höherer Wert ist einzusetzen)</t>
  </si>
  <si>
    <t>ZENTRALER AUFBAU DER SPS IM SCHALTSCHRANK UND IM UNTERVERTEILER</t>
  </si>
  <si>
    <t>Reflexionslichtschranke RSM (DIRECT)</t>
  </si>
  <si>
    <t>Unterverteilergehäuse und Zubehör</t>
  </si>
  <si>
    <t>Klemmkasten (DIRECT in RSM)</t>
  </si>
  <si>
    <t>Spulenumsetzstation</t>
  </si>
  <si>
    <t>RA, bidirektional; ohne SPS-Ansteuerung</t>
  </si>
  <si>
    <t>Summe Motorstarter</t>
  </si>
  <si>
    <t>Zentral im Schrank bei der CPU 16DE/32DE/16DA/32DA</t>
  </si>
  <si>
    <t>System</t>
  </si>
  <si>
    <t>Datum</t>
  </si>
  <si>
    <t>Ersteller</t>
  </si>
  <si>
    <t>Anzahl der notwendigen E/A-Karten Siemens S7-300/400 32DE/32DA</t>
  </si>
  <si>
    <t>BERECHNUNG ANSCHLUSSLEISTUNG ANLAGE</t>
  </si>
  <si>
    <t>Anschlußspannung:</t>
  </si>
  <si>
    <t>Wert gegebenenfalls korrigieren</t>
  </si>
  <si>
    <t>MOTOR- ART</t>
  </si>
  <si>
    <t>ANZAHL</t>
  </si>
  <si>
    <t>ANTRIEB /kW</t>
  </si>
  <si>
    <t>NENN- STROM/A</t>
  </si>
  <si>
    <t>SUMME /A</t>
  </si>
  <si>
    <t>cos phi</t>
  </si>
  <si>
    <t>0,12 KW</t>
  </si>
  <si>
    <t>Versorgung SPS und Peripherie</t>
  </si>
  <si>
    <t>A</t>
  </si>
  <si>
    <t>Summe</t>
  </si>
  <si>
    <t>GZF.</t>
  </si>
  <si>
    <t>Res.</t>
  </si>
  <si>
    <t>Gesamt Strom in Ampere</t>
  </si>
  <si>
    <t xml:space="preserve"> Spannung</t>
  </si>
  <si>
    <t>x  Strom</t>
  </si>
  <si>
    <t>x  Wurzel 3</t>
  </si>
  <si>
    <t>=  Leistung</t>
  </si>
  <si>
    <t>U</t>
  </si>
  <si>
    <t>I</t>
  </si>
  <si>
    <t>kVA</t>
  </si>
  <si>
    <t>Gesamtanschlußleistung:</t>
  </si>
  <si>
    <t>Netzteile Siemens (230…500VAC primär)</t>
  </si>
  <si>
    <t>Typ</t>
  </si>
  <si>
    <t>Strom sek.</t>
  </si>
  <si>
    <t>Anschluß</t>
  </si>
  <si>
    <t>Strom pr.</t>
  </si>
  <si>
    <t>Preis</t>
  </si>
  <si>
    <t>6EP1334-3BA00</t>
  </si>
  <si>
    <t>10A</t>
  </si>
  <si>
    <t>1-phasig</t>
  </si>
  <si>
    <t>1,0A</t>
  </si>
  <si>
    <t>6EP1436-3BA00</t>
  </si>
  <si>
    <t>20A</t>
  </si>
  <si>
    <t>3-phasig</t>
  </si>
  <si>
    <t>1,1A</t>
  </si>
  <si>
    <t>6EP1437-3BA00</t>
  </si>
  <si>
    <t>40A</t>
  </si>
  <si>
    <t>2,2A</t>
  </si>
  <si>
    <t>Kenndaten Hybridstarter</t>
  </si>
  <si>
    <t>Strom</t>
  </si>
  <si>
    <t>Preis mit Kl.</t>
  </si>
  <si>
    <t>3RM1002-3AA04</t>
  </si>
  <si>
    <t>22,5mm</t>
  </si>
  <si>
    <t>24VDC</t>
  </si>
  <si>
    <t>0,070A</t>
  </si>
  <si>
    <t>3RM1202-3AA04</t>
  </si>
  <si>
    <t>Kenndaten Pneumatikventile</t>
  </si>
  <si>
    <t>Bauteil</t>
  </si>
  <si>
    <t>Anpressen</t>
  </si>
  <si>
    <t>Doppelstrecke</t>
  </si>
  <si>
    <t>SUMME PROJ. E/A</t>
  </si>
  <si>
    <t>NOTWENDIGE  E/A</t>
  </si>
  <si>
    <t>unidirektional</t>
  </si>
  <si>
    <t>bidirektional</t>
  </si>
  <si>
    <t>RA, unidirektional; ohne SPS-Ansteuerung</t>
  </si>
  <si>
    <t>Kreuzungsweiche</t>
  </si>
  <si>
    <t>4. ACHTUNG! Kalkulation wurde mit aktuellen Preisen für Dienstleistung erstellt.</t>
  </si>
  <si>
    <t>Bedienstation 1-fach "Not Aus"</t>
  </si>
  <si>
    <t>Pritsche in RSM montieren</t>
  </si>
  <si>
    <t>RA in RSM; bidirektional; 1 gemeinsame Wendung je Seite; je Antrieb ein Motorschutzschalter</t>
  </si>
  <si>
    <t>Motorschutzschalter</t>
  </si>
  <si>
    <t>Drucktaster "Lampentest"</t>
  </si>
  <si>
    <t>Meldeleuchte "Komm. PC-SPS gestört"</t>
  </si>
  <si>
    <t>Bedienstation 1-fach "Zug wechseln"</t>
  </si>
  <si>
    <t>Schnittstelle Putzmaschine (Neuenhauser)</t>
  </si>
  <si>
    <t>Anzahl:</t>
  </si>
  <si>
    <t>Sensor optisch Traverse</t>
  </si>
  <si>
    <t>Bedientableau 1-fach</t>
  </si>
  <si>
    <t>Korrektur</t>
  </si>
  <si>
    <t>RA uni</t>
  </si>
  <si>
    <t>Putzmaschine (Neuenhauser)</t>
  </si>
  <si>
    <t>Anzahl Vorstaustrecken:</t>
  </si>
  <si>
    <t>Anzahl Nachstaustrecken:</t>
  </si>
  <si>
    <t>Bedientableau 2-fach</t>
  </si>
  <si>
    <t>Interface Putzmaschine</t>
  </si>
  <si>
    <t>Weiche nach PM (bipolar)</t>
  </si>
  <si>
    <t>RA uni abhebbar</t>
  </si>
  <si>
    <t>RA bi abhebbar</t>
  </si>
  <si>
    <t>Flyer (Marzoli)</t>
  </si>
  <si>
    <t>Anzahl Schienen:</t>
  </si>
  <si>
    <t>Sensor induktiv Spulenhalter</t>
  </si>
  <si>
    <t>Interface Doffer</t>
  </si>
  <si>
    <t>RA bi ohne SPS-Ansteuerung</t>
  </si>
  <si>
    <t>Zusammenfassung</t>
  </si>
  <si>
    <t>Felder mit Eintrag</t>
  </si>
  <si>
    <t>verknüpfte Felder</t>
  </si>
  <si>
    <t>Projekt:</t>
  </si>
  <si>
    <t>Bedientableau 2-fach Direct</t>
  </si>
  <si>
    <t>RA bi</t>
  </si>
  <si>
    <t>Lichtschranke Traverse</t>
  </si>
  <si>
    <t>Frequenzumrichter</t>
  </si>
  <si>
    <t>Verbindungsstrecken</t>
  </si>
  <si>
    <t>Rundumleuchte "Störung"</t>
  </si>
  <si>
    <t>Sensoren montieren (h/St.)</t>
  </si>
  <si>
    <t>RA uni ohne SPS-Ansteuerung</t>
  </si>
  <si>
    <t>RA bi abhebbar (unger. Schiene)</t>
  </si>
  <si>
    <t>Anzahl RSM</t>
  </si>
  <si>
    <t>Hauptschalter Ein-Meldung</t>
  </si>
  <si>
    <t>Seilzugsschalter</t>
  </si>
  <si>
    <t>Seil für Seilzugschalter</t>
  </si>
  <si>
    <t>Feldbus-UV Ein-/Ausgang</t>
  </si>
  <si>
    <t>Anzahl Strecken/RSM</t>
  </si>
  <si>
    <t>Bedienst. 2-fach ("Wechs." + BCD 10f.) (DIR.)</t>
  </si>
  <si>
    <t>Dreifachweiche</t>
  </si>
  <si>
    <t>E2-1056</t>
  </si>
  <si>
    <t>E1-1055</t>
  </si>
  <si>
    <t>Sivas:AG</t>
  </si>
  <si>
    <t>PC-Programmierung (Visualisierung)</t>
  </si>
  <si>
    <t>Pflichtenheft</t>
  </si>
  <si>
    <t>Wendeschützschaltung</t>
  </si>
  <si>
    <t>RSM - Kreisel 1</t>
  </si>
  <si>
    <t>Sensor Spulendicke</t>
  </si>
  <si>
    <t>Sensor optisch Spulenhalter</t>
  </si>
  <si>
    <t>Sensor Statistik</t>
  </si>
  <si>
    <t>Ein-/Ausfahrtsensoren</t>
  </si>
  <si>
    <t>RA uni; Mitte</t>
  </si>
  <si>
    <t>RA uni; Mitte; ohne SPS-Anst.</t>
  </si>
  <si>
    <t>RA uni; Seite</t>
  </si>
  <si>
    <t>RA uni; Seite; ohne SPS-Anst.</t>
  </si>
  <si>
    <t>RA uni; Ein-/Ausfahrt</t>
  </si>
  <si>
    <t>RA uni; Ein-/Ausfahrt; ohne SPS-A.</t>
  </si>
  <si>
    <t>RSM - Kreisel 2</t>
  </si>
  <si>
    <t>Korrektur bei gerader Anzahl</t>
  </si>
  <si>
    <t>RSM - Kreisel 3</t>
  </si>
  <si>
    <t>1 Dummy-RSM inkl.</t>
  </si>
  <si>
    <t>RSM - Kreisel 4</t>
  </si>
  <si>
    <t>Putzmaschine (Cason)</t>
  </si>
  <si>
    <t>Kalkulation Spinnerei Continous A</t>
  </si>
  <si>
    <t>RSM - Kreisel 5</t>
  </si>
  <si>
    <t>RSM - Kreisel 6</t>
  </si>
  <si>
    <t>RSM - Kreisel 7</t>
  </si>
  <si>
    <t xml:space="preserve">RSM - Kreisel 8 </t>
  </si>
  <si>
    <t>RA uni abhebbar; Puffer</t>
  </si>
  <si>
    <t>RA uni abhebbar (unger. Sch.)</t>
  </si>
  <si>
    <t>P</t>
  </si>
  <si>
    <t>V</t>
  </si>
  <si>
    <t>N</t>
  </si>
  <si>
    <t>Flyer (Electrojet)</t>
  </si>
  <si>
    <t>Anzahl Schränke</t>
  </si>
  <si>
    <t>Projektkoordination, Baustellentelefonate</t>
  </si>
  <si>
    <t>5. Bei Wanddurchbruch keine Schwenkschiene bzw. Schnittstelle vorgesehen!</t>
  </si>
  <si>
    <t>Sensorik Zugpositionierung</t>
  </si>
  <si>
    <t>Bedientableau 14-fach</t>
  </si>
  <si>
    <t>St:</t>
  </si>
  <si>
    <t>E/As Unterverteiler DIRECT</t>
  </si>
  <si>
    <t>Schnittstelle Flyer (Electro-Jet)</t>
  </si>
  <si>
    <t>Schnittstelle Putzmaschine (Electro-Jet)</t>
  </si>
  <si>
    <t>Bedienstation 2-fach (Not Aus, Reset)</t>
  </si>
  <si>
    <t xml:space="preserve">S7-1500 MMC 12MB </t>
  </si>
  <si>
    <t>SIMATIC PN/PN Coupler          6ES7158-3AD10-0XA0 + BUSADAPTER BA 2xRJ45</t>
  </si>
  <si>
    <t>S7-1500 Eingangskarte SM 321 32DE</t>
  </si>
  <si>
    <t>S7-1500 Eingangskarte SM 321 16DE</t>
  </si>
  <si>
    <t>S7-1500 Ausgangskarte SM 322 16DA</t>
  </si>
  <si>
    <t>Profinetstrecker (je 1St. CPU und IM153)</t>
  </si>
  <si>
    <t>S7-1500 Ausgangskarte SM 322 32DA</t>
  </si>
  <si>
    <t xml:space="preserve"> ET200 MP IM155-5 PN</t>
  </si>
  <si>
    <t>ET 200SP BUNDLE PROFINET IM 155-6PN ST, BA 2xRJ45</t>
  </si>
  <si>
    <t>S7-1500 CPU 1517-3 PN/DP (mit Ethernet)</t>
  </si>
  <si>
    <t>SPS-Hardware Siemens S7-1500</t>
  </si>
  <si>
    <t>S7-1500 CPU 1515-2 PN (mit Ethernet)</t>
  </si>
  <si>
    <t>Klemmkasten (RSM)</t>
  </si>
  <si>
    <t>Klemmkastenbau (je 2h)</t>
  </si>
  <si>
    <t>Schellhammer</t>
  </si>
  <si>
    <t>722001xxx</t>
  </si>
  <si>
    <t>Sensor optisch Traverse
zusätzlich</t>
  </si>
  <si>
    <t>RRA bi</t>
  </si>
  <si>
    <t>RRA bi ohne SPS-Ansteuerung</t>
  </si>
  <si>
    <t>Werma Rundumleuchte "Störung"</t>
  </si>
  <si>
    <t>Sensor, induktiv (Flyer+PM)</t>
  </si>
  <si>
    <t>Sensor Spulenprüfung voll/leer</t>
  </si>
  <si>
    <t>SPS Simatic S7 1517-3</t>
  </si>
  <si>
    <t>Netzwerk/Fernwartung</t>
  </si>
  <si>
    <t>Anlagenrechner</t>
  </si>
  <si>
    <t>790820207_A</t>
  </si>
  <si>
    <t>790820209_A</t>
  </si>
  <si>
    <t>Profinetkabel</t>
  </si>
  <si>
    <r>
      <t>46/</t>
    </r>
    <r>
      <rPr>
        <b/>
        <sz val="10"/>
        <color rgb="FFFF0000"/>
        <rFont val="Arial Black"/>
        <family val="2"/>
      </rPr>
      <t>100</t>
    </r>
  </si>
  <si>
    <r>
      <t>49/</t>
    </r>
    <r>
      <rPr>
        <b/>
        <sz val="10"/>
        <color rgb="FFFF0000"/>
        <rFont val="Arial Black"/>
        <family val="2"/>
      </rPr>
      <t>110</t>
    </r>
  </si>
  <si>
    <r>
      <t>47/</t>
    </r>
    <r>
      <rPr>
        <b/>
        <sz val="10"/>
        <color rgb="FFFF0000"/>
        <rFont val="Arial Black"/>
        <family val="2"/>
      </rPr>
      <t>101</t>
    </r>
  </si>
  <si>
    <t>Inbetriebnahmeunterstützung durch Montage</t>
  </si>
  <si>
    <t>Zeiten (Minuten)
Hardwareplanung</t>
  </si>
  <si>
    <t>Zeiten (Minuten)
E-Werkstatt</t>
  </si>
  <si>
    <t>Zeit pro Einheit</t>
  </si>
  <si>
    <t>Summe Gesamt</t>
  </si>
  <si>
    <t>Schaltschrankbau</t>
  </si>
  <si>
    <t>Unterverteilerbau</t>
  </si>
  <si>
    <t>Bedientableaubau</t>
  </si>
  <si>
    <t>Summe Dienstleistung Hardwareplanung</t>
  </si>
  <si>
    <t>Summe Dienstleistung Elektrowerkstatt</t>
  </si>
  <si>
    <t>Erdung (h)</t>
  </si>
  <si>
    <t>3. E-Montagekosten müssen auf entsprechende Anzahl von Helfern umgeschichtet werden.</t>
  </si>
  <si>
    <t>2. Zeiten für Schaltschrankbau, Hardwareplanung und Softwareerstellung basieren auf einer Realisierung im Haus</t>
  </si>
  <si>
    <t>Erstellt</t>
  </si>
  <si>
    <t xml:space="preserve">Zeit pro Einheit </t>
  </si>
  <si>
    <t xml:space="preserve">SPS-Inbetriebsetzung
</t>
  </si>
  <si>
    <t>E-Werkstatt</t>
  </si>
  <si>
    <t>Dienstleistung in LL</t>
  </si>
  <si>
    <t/>
  </si>
  <si>
    <t>Schaltschrankgehäuse b=2x800 und Zubehör</t>
  </si>
  <si>
    <t>Summe in
Minuten</t>
  </si>
  <si>
    <t xml:space="preserve">Dienstleistung </t>
  </si>
  <si>
    <t>Summe
/Std</t>
  </si>
  <si>
    <t>256 MB Memory-Card</t>
  </si>
  <si>
    <t>SPS ET200 1512SP</t>
  </si>
  <si>
    <t>ET200-SP E/A-Ebene</t>
  </si>
  <si>
    <t xml:space="preserve">Installationsmaterial vor Ort
</t>
  </si>
  <si>
    <t>In Sivas: unter technischen Auftrag: 50 Automatisierung Pos. 10: 1056, Pos. 20: 1055</t>
  </si>
  <si>
    <t>Zusätzlicher Bildschirm</t>
  </si>
  <si>
    <t>Kleinteile
(Rohre, Schellen, Kabelbinder, ect.)</t>
  </si>
  <si>
    <t>RRA bi auf Haupstrecke</t>
  </si>
  <si>
    <t>Puffer</t>
  </si>
  <si>
    <t>Anzahl Staustrecken:</t>
  </si>
  <si>
    <t>Meldelampe "Überstrom"</t>
  </si>
  <si>
    <t>4xFlyer 1-4 Ziel; 4x Flyer1-4 Quelle; Abrufen;
Not Halt;Start nach Not Halt; Laufzeitfehler; Betriebsbereit</t>
  </si>
  <si>
    <t>RA bi (ungerade Schiene)</t>
  </si>
  <si>
    <t>Datum:</t>
  </si>
  <si>
    <t>Materialdisposition</t>
  </si>
  <si>
    <t>Schaltplanerstellung incl. Korrekturen</t>
  </si>
  <si>
    <t>Erstellung Steuerungslayout</t>
  </si>
  <si>
    <t>----</t>
  </si>
  <si>
    <t>korrektur</t>
  </si>
  <si>
    <t>Unterverteiler für
2-Flyer F40
mit integrierter Putzmaschine</t>
  </si>
  <si>
    <t>Alter Eintrag Günter</t>
  </si>
  <si>
    <t>Kabelpritschen/-leitern 200/60</t>
  </si>
  <si>
    <t>Kabelpritsche RSM 100/60</t>
  </si>
  <si>
    <t>Gesamt/
Motor</t>
  </si>
  <si>
    <t>Artikelnummer</t>
  </si>
  <si>
    <t>Gesamtzeit</t>
  </si>
  <si>
    <t>Zeit/h</t>
  </si>
  <si>
    <t>Zeit/min
pro Einheit</t>
  </si>
  <si>
    <t>Gesamtzeit/min</t>
  </si>
  <si>
    <t>Gesamt
Zeit/h</t>
  </si>
  <si>
    <t>zusätzliche
Motoren</t>
  </si>
  <si>
    <t>Lila Markierte Felder Sonderfelder nur Bedingt ändern.</t>
  </si>
  <si>
    <t>Gelb Markierte Felder nicht ändern (Formeln hinterlegt)</t>
  </si>
  <si>
    <t xml:space="preserve">korrektur 1 RSM zusätzlich im Unterverteiler </t>
  </si>
  <si>
    <t>SPS Simatic S7 1515-2</t>
  </si>
  <si>
    <t>SPS Simatic S7  CPU315-2 PN/DP</t>
  </si>
  <si>
    <t xml:space="preserve">Sensorhalter ohne Sensor </t>
  </si>
  <si>
    <t>Pritsche montieren / umbauen / demontieren(m/h)</t>
  </si>
  <si>
    <t>827072xxx</t>
  </si>
  <si>
    <t>Automatische Umfahrung
Flex-A Premium</t>
  </si>
  <si>
    <t>RSM direct</t>
  </si>
  <si>
    <t>GESAMT E/A  incl. Reserve)</t>
  </si>
  <si>
    <t>Schaltschrankgehäuse b=1x1200+1x800 und Zubehör</t>
  </si>
  <si>
    <t>SPS Simatic S7  CPU317-2 PN/DP</t>
  </si>
  <si>
    <t>Speicherkarte für SPS 2 MB</t>
  </si>
  <si>
    <t>Speicherkarte für SPS 512 KB</t>
  </si>
  <si>
    <t>In Grau Markierte Fehlder müssen Zahlenwerte
eingetragen werden</t>
  </si>
  <si>
    <t>Zusammenfassung Mengengerüst</t>
  </si>
  <si>
    <t>KALKULATION SPINNEREI</t>
  </si>
  <si>
    <t>Unterverteiler für 8-RSM DIRECT</t>
  </si>
  <si>
    <t>Unterverteiler für 4-RSM DIRECT</t>
  </si>
  <si>
    <t>Kabelpritsche RSM 50/35</t>
  </si>
  <si>
    <t>Stoppersensor, induktiv mit Halter</t>
  </si>
  <si>
    <t>Kabel für Klemmkasten und BT´s 60m</t>
  </si>
  <si>
    <t>Dreifach-Weiche</t>
  </si>
  <si>
    <t>RRA BI abhebbar</t>
  </si>
  <si>
    <t>Übersetzung Dokumentation</t>
  </si>
  <si>
    <t>Unterverteiler
für Puffer</t>
  </si>
  <si>
    <t>Wechsel</t>
  </si>
  <si>
    <t>0</t>
  </si>
  <si>
    <t>SPS-Programmierung</t>
  </si>
  <si>
    <t>Flyer F40 (Electrojet)
incl. Putzmaschine</t>
  </si>
  <si>
    <t>Verbindungsstrecken/ Wechsel</t>
  </si>
  <si>
    <t>Abgang 400V</t>
  </si>
  <si>
    <t>Abgang 24 V</t>
  </si>
  <si>
    <t>Preisanpassung</t>
  </si>
  <si>
    <t>Erhöhter Einzelpreis</t>
  </si>
  <si>
    <t>RSM-Einfahrt Ein-/Beidseitig</t>
  </si>
  <si>
    <t>nein</t>
  </si>
  <si>
    <t>Getriebe in der Mitte</t>
  </si>
  <si>
    <t>Single-Line / Durchfahrt</t>
  </si>
  <si>
    <t>Unterverteiler für
1-Flyer F40
mit integrierter Putzmaschine</t>
  </si>
  <si>
    <t>Mit Drucktaster</t>
  </si>
  <si>
    <t>Drucktaster automatische Umfahrung</t>
  </si>
  <si>
    <t>Halter für Drucktaster</t>
  </si>
  <si>
    <t>Unterverteiler für 5-RSM FA</t>
  </si>
  <si>
    <t>Mehraufwendungen, Sicherheit, usw.</t>
  </si>
  <si>
    <t>Flyer</t>
  </si>
  <si>
    <t>Flyer (Electrojet)
incl. intergrierte Putzmaschine</t>
  </si>
  <si>
    <t>Neuenhauser-Putzmaschine</t>
  </si>
  <si>
    <t>Cason-Putzmaschine</t>
  </si>
  <si>
    <t>Turm</t>
  </si>
  <si>
    <t>W</t>
  </si>
  <si>
    <t>RA bi ohne SPS</t>
  </si>
  <si>
    <t>Sensor WT18 Spulenprüfung voll/leer</t>
  </si>
  <si>
    <t>827072204 + 721000041</t>
  </si>
  <si>
    <t>30m Schnittstellen 8x1,0mm²</t>
  </si>
  <si>
    <r>
      <t xml:space="preserve">Unterverteiler für 3-RSM FA mit Umfahrung </t>
    </r>
    <r>
      <rPr>
        <sz val="10"/>
        <color rgb="FFFF0000"/>
        <rFont val="Arial"/>
        <family val="2"/>
      </rPr>
      <t>steckbar</t>
    </r>
  </si>
  <si>
    <t>790820209_C</t>
  </si>
  <si>
    <t>790002021_A</t>
  </si>
  <si>
    <t>6. Installationausführung: NICHT STECKBAR</t>
  </si>
  <si>
    <t>RSM FA</t>
  </si>
  <si>
    <t>Unterverteiler für 10-RSM FA</t>
  </si>
  <si>
    <t>790820210_F</t>
  </si>
  <si>
    <t>ET200-SP</t>
  </si>
  <si>
    <t>ET200-SP Eingangskarte 8 DE</t>
  </si>
  <si>
    <t>ET200-SP Eingangskarte 16 DE</t>
  </si>
  <si>
    <t>ET200-SP Eingangskarte 8 DO</t>
  </si>
  <si>
    <t>ET200-SP Eingangskarte 16 DO</t>
  </si>
  <si>
    <t>ET200-SP BASE-UNIT NEUE LAST</t>
  </si>
  <si>
    <t>ET200-SP BASE-UNIT LINKS GEBRÜCKT</t>
  </si>
  <si>
    <t>Weiche Gemeinsame Rückstellung</t>
  </si>
  <si>
    <t>Busverteiler 8-RSM DIRECT</t>
  </si>
  <si>
    <t>Schaltschrankbau extern (Mehrkosten)</t>
  </si>
  <si>
    <t>Weiche nach Flyer (bipolar)</t>
  </si>
  <si>
    <t>790820210_D</t>
  </si>
  <si>
    <t>Begegnungsstrecke/Bypass</t>
  </si>
  <si>
    <t>Nachpuffer</t>
  </si>
  <si>
    <t>Stk./
Motor uni</t>
  </si>
  <si>
    <t>Stk./
Motor bi</t>
  </si>
  <si>
    <t>SLIO</t>
  </si>
  <si>
    <t>SLIO Eingangskarte 4 DE</t>
  </si>
  <si>
    <t>SLIO Eingangskarte 8 DE</t>
  </si>
  <si>
    <t>SLIO 4 x DC 24V/4 x DC 0V</t>
  </si>
  <si>
    <t>SLIO 8 x DC 24V</t>
  </si>
  <si>
    <t>SLIO 8 x DC 0V</t>
  </si>
  <si>
    <t>SLIO Ausgangskarte 4 DO</t>
  </si>
  <si>
    <t>SLIO Ausgangskarte 8 DO</t>
  </si>
  <si>
    <t>SLIO Power-Modul</t>
  </si>
  <si>
    <t>Korrectur manuell 
entweder 4DI/DQ oder 8DI/DQ</t>
  </si>
  <si>
    <t>709000031_A</t>
  </si>
  <si>
    <t>Busverteiler 6-RSM DIRECT</t>
  </si>
  <si>
    <t>KW</t>
  </si>
  <si>
    <t>Unterverteiler für 12-RSM DIRECT</t>
  </si>
  <si>
    <t>SPS Simatic S7 1518-4</t>
  </si>
  <si>
    <t>6ES7518-4AP00-0AB0</t>
  </si>
  <si>
    <t>2 GB Memory-Card</t>
  </si>
  <si>
    <t>55 m Zuleitung Klemmkasten RSM mitte 14G1,5 mm</t>
  </si>
  <si>
    <t>55 m Zuleitung Klemmkasten RSM mitte 14G1,0 mm</t>
  </si>
  <si>
    <t>Motorkabel (je 30m)</t>
  </si>
  <si>
    <t>75 m Zuleitung Unterverteiler 12x4mm² (24 VDC)</t>
  </si>
  <si>
    <t>75 m Zuleitung Unterverteiler 4x4mm² (400VAC)</t>
  </si>
  <si>
    <t xml:space="preserve">Unterverteiler für
1-Neuenhauser PM </t>
  </si>
  <si>
    <t xml:space="preserve">Wechsel </t>
  </si>
  <si>
    <t xml:space="preserve">Unterverteiler für
1-Flyer </t>
  </si>
  <si>
    <t xml:space="preserve">Unterverteiler für
2-Flyer </t>
  </si>
  <si>
    <t>FA</t>
  </si>
  <si>
    <t>Bedienstation 10-fach kpl.</t>
  </si>
  <si>
    <t>75 m Zuleitung Unterverteiler 12x2,5mm² (24 VDC)</t>
  </si>
  <si>
    <t>SPS Simatic S7 1513-1</t>
  </si>
  <si>
    <t>Schaltschrankgehäuse b=1x800 und Zubehör</t>
  </si>
  <si>
    <t>Comfort Panel TP 900 mit PN</t>
  </si>
  <si>
    <r>
      <rPr>
        <sz val="10"/>
        <rFont val="Arial"/>
        <family val="2"/>
      </rPr>
      <t>Datum</t>
    </r>
    <r>
      <rPr>
        <b/>
        <sz val="10"/>
        <rFont val="Arial"/>
        <family val="2"/>
      </rPr>
      <t>:  08.03.2022</t>
    </r>
  </si>
  <si>
    <r>
      <t xml:space="preserve">Alpha Yarn Egypt 500537_10_0 FSA
</t>
    </r>
    <r>
      <rPr>
        <b/>
        <sz val="12"/>
        <color rgb="FFFF0000"/>
        <rFont val="Arial"/>
        <family val="2"/>
      </rPr>
      <t>Kein PC und keine Visualisierung. 
Textdisplay mit Störmeldungen ohne Grafik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</si>
</sst>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6" formatCode="#,##0\ &quot;€&quot;;[Red]\-#,##0\ &quot;€&quot;"/>
    <numFmt numFmtId="7" formatCode="#,##0.00\ &quot;€&quot;;\-#,##0.00\ &quot;€&quot;"/>
    <numFmt numFmtId="8" formatCode="#,##0.00\ &quot;€&quot;;[Red]\-#,##0.00\ &quot;€&quot;"/>
    <numFmt numFmtId="164" formatCode="#,##0\ &quot;DM&quot;;\-#,##0\ &quot;DM&quot;"/>
    <numFmt numFmtId="165" formatCode="_-* #,##0.00\ &quot;DM&quot;_-;\-* #,##0.00\ &quot;DM&quot;_-;_-* &quot;-&quot;??\ &quot;DM&quot;_-;_-@_-"/>
    <numFmt numFmtId="166" formatCode="#,##0\ \€;\-#,##0\ \€"/>
    <numFmt numFmtId="167" formatCode="#,##0\ &quot;h&quot;;\-#,##0\ &quot;h&quot;"/>
    <numFmt numFmtId="168" formatCode="_-* #,##0_ \€_-;\-* #,##0_ \€_-;_-* &quot;-&quot;??_ \€_-;_-@_-"/>
    <numFmt numFmtId="169" formatCode="_-* #,##0\ [$€-1]_-;\-* #,##0\ [$€-1]_-;_-* &quot;-&quot;??\ [$€-1]_-"/>
    <numFmt numFmtId="170" formatCode="_-* #,##0.00\ [$€-1]_-;\-* #,##0.00\ [$€-1]_-;_-* &quot;-&quot;??\ [$€-1]_-"/>
    <numFmt numFmtId="171" formatCode="_-* #,##0\ [$€-407]_-;\-* #,##0\ [$€-407]_-;_-* &quot;-&quot;??\ [$€-407]_-;_-@_-"/>
    <numFmt numFmtId="172" formatCode="000\ \V"/>
    <numFmt numFmtId="173" formatCode="0.000"/>
    <numFmt numFmtId="174" formatCode="0.0"/>
    <numFmt numFmtId="175" formatCode="_-* #,##0.00\ [$€-407]_-;\-* #,##0.00\ [$€-407]_-;_-* &quot;-&quot;??\ [$€-407]_-;_-@_-"/>
    <numFmt numFmtId="176" formatCode="#,##0_ ;[Red]\-#,##0\ "/>
  </numFmts>
  <fonts count="36" x14ac:knownFonts="1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Arial"/>
      <family val="2"/>
    </font>
    <font>
      <sz val="10"/>
      <color rgb="FFFF0000"/>
      <name val="Arial"/>
      <family val="2"/>
    </font>
    <font>
      <b/>
      <sz val="10"/>
      <color rgb="FF00B050"/>
      <name val="Arial Black"/>
      <family val="2"/>
    </font>
    <font>
      <b/>
      <sz val="10"/>
      <color rgb="FFFF0000"/>
      <name val="Arial Black"/>
      <family val="2"/>
    </font>
    <font>
      <sz val="10"/>
      <color rgb="FF00B050"/>
      <name val="Arial Black"/>
      <family val="2"/>
    </font>
    <font>
      <b/>
      <sz val="10"/>
      <color rgb="FFFF0000"/>
      <name val="Arial"/>
      <family val="2"/>
    </font>
    <font>
      <b/>
      <sz val="11"/>
      <color indexed="8"/>
      <name val="Arial"/>
      <family val="2"/>
    </font>
    <font>
      <b/>
      <sz val="16"/>
      <name val="Arial"/>
      <family val="2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12"/>
      <color rgb="FFFF0000"/>
      <name val="Arial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70" fontId="4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979">
    <xf numFmtId="0" fontId="0" fillId="0" borderId="0" xfId="0"/>
    <xf numFmtId="0" fontId="4" fillId="0" borderId="0" xfId="0" applyFont="1"/>
    <xf numFmtId="0" fontId="0" fillId="7" borderId="2" xfId="0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166" fontId="0" fillId="0" borderId="2" xfId="0" applyNumberFormat="1" applyBorder="1" applyAlignment="1">
      <alignment vertical="center"/>
    </xf>
    <xf numFmtId="166" fontId="0" fillId="2" borderId="1" xfId="0" applyNumberForma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9" fillId="0" borderId="16" xfId="0" applyFont="1" applyBorder="1" applyAlignment="1">
      <alignment horizontal="center" wrapText="1"/>
    </xf>
    <xf numFmtId="0" fontId="9" fillId="0" borderId="17" xfId="0" applyFont="1" applyBorder="1" applyAlignment="1">
      <alignment horizontal="center" wrapText="1"/>
    </xf>
    <xf numFmtId="0" fontId="9" fillId="0" borderId="18" xfId="0" applyFont="1" applyBorder="1" applyAlignment="1">
      <alignment horizontal="center" wrapText="1"/>
    </xf>
    <xf numFmtId="0" fontId="9" fillId="0" borderId="2" xfId="0" applyFont="1" applyBorder="1" applyAlignment="1">
      <alignment horizontal="left"/>
    </xf>
    <xf numFmtId="2" fontId="9" fillId="0" borderId="2" xfId="0" applyNumberFormat="1" applyFont="1" applyBorder="1" applyAlignment="1">
      <alignment horizontal="center" vertical="center"/>
    </xf>
    <xf numFmtId="2" fontId="9" fillId="7" borderId="2" xfId="0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9" fillId="0" borderId="2" xfId="0" applyFont="1" applyBorder="1" applyAlignment="1">
      <alignment horizontal="right"/>
    </xf>
    <xf numFmtId="0" fontId="9" fillId="7" borderId="20" xfId="0" applyFont="1" applyFill="1" applyBorder="1"/>
    <xf numFmtId="0" fontId="9" fillId="0" borderId="11" xfId="0" applyFont="1" applyBorder="1" applyAlignment="1">
      <alignment horizontal="right" vertical="center"/>
    </xf>
    <xf numFmtId="2" fontId="9" fillId="7" borderId="11" xfId="0" applyNumberFormat="1" applyFont="1" applyFill="1" applyBorder="1" applyAlignment="1">
      <alignment vertical="center"/>
    </xf>
    <xf numFmtId="2" fontId="9" fillId="6" borderId="19" xfId="0" applyNumberFormat="1" applyFont="1" applyFill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49" fontId="9" fillId="0" borderId="23" xfId="0" applyNumberFormat="1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25" xfId="0" applyFont="1" applyBorder="1" applyAlignment="1">
      <alignment horizontal="center"/>
    </xf>
    <xf numFmtId="0" fontId="9" fillId="7" borderId="26" xfId="0" applyFont="1" applyFill="1" applyBorder="1" applyAlignment="1">
      <alignment horizontal="center"/>
    </xf>
    <xf numFmtId="2" fontId="9" fillId="7" borderId="27" xfId="0" applyNumberFormat="1" applyFont="1" applyFill="1" applyBorder="1" applyAlignment="1">
      <alignment horizontal="center"/>
    </xf>
    <xf numFmtId="2" fontId="9" fillId="7" borderId="28" xfId="0" applyNumberFormat="1" applyFont="1" applyFill="1" applyBorder="1" applyAlignment="1">
      <alignment horizontal="center"/>
    </xf>
    <xf numFmtId="0" fontId="9" fillId="6" borderId="29" xfId="0" applyFont="1" applyFill="1" applyBorder="1"/>
    <xf numFmtId="0" fontId="9" fillId="6" borderId="30" xfId="0" applyFont="1" applyFill="1" applyBorder="1"/>
    <xf numFmtId="1" fontId="9" fillId="6" borderId="30" xfId="0" applyNumberFormat="1" applyFont="1" applyFill="1" applyBorder="1"/>
    <xf numFmtId="0" fontId="9" fillId="6" borderId="31" xfId="0" applyFont="1" applyFill="1" applyBorder="1"/>
    <xf numFmtId="0" fontId="20" fillId="0" borderId="0" xfId="0" applyFont="1"/>
    <xf numFmtId="0" fontId="20" fillId="0" borderId="2" xfId="0" applyFont="1" applyBorder="1" applyAlignment="1">
      <alignment horizontal="center"/>
    </xf>
    <xf numFmtId="0" fontId="20" fillId="0" borderId="2" xfId="0" applyFont="1" applyBorder="1"/>
    <xf numFmtId="0" fontId="9" fillId="0" borderId="0" xfId="0" applyFont="1" applyAlignment="1">
      <alignment horizontal="center" vertical="center" wrapText="1"/>
    </xf>
    <xf numFmtId="2" fontId="9" fillId="0" borderId="0" xfId="0" applyNumberFormat="1" applyFont="1" applyAlignment="1">
      <alignment vertical="center"/>
    </xf>
    <xf numFmtId="0" fontId="9" fillId="7" borderId="32" xfId="0" applyFont="1" applyFill="1" applyBorder="1"/>
    <xf numFmtId="0" fontId="3" fillId="0" borderId="0" xfId="0" applyFont="1"/>
    <xf numFmtId="0" fontId="0" fillId="0" borderId="0" xfId="0" applyFill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49" fontId="9" fillId="0" borderId="0" xfId="0" applyNumberFormat="1" applyFont="1" applyAlignment="1">
      <alignment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7" fillId="0" borderId="5" xfId="0" applyFont="1" applyBorder="1" applyAlignment="1">
      <alignment vertical="center" wrapText="1"/>
    </xf>
    <xf numFmtId="164" fontId="6" fillId="0" borderId="0" xfId="0" applyNumberFormat="1" applyFont="1" applyAlignment="1">
      <alignment horizontal="right" vertical="center"/>
    </xf>
    <xf numFmtId="0" fontId="0" fillId="0" borderId="7" xfId="0" applyBorder="1" applyAlignment="1">
      <alignment vertical="center"/>
    </xf>
    <xf numFmtId="0" fontId="4" fillId="0" borderId="2" xfId="0" applyFont="1" applyBorder="1" applyAlignment="1">
      <alignment vertical="center" wrapText="1"/>
    </xf>
    <xf numFmtId="164" fontId="4" fillId="0" borderId="9" xfId="0" applyNumberFormat="1" applyFont="1" applyBorder="1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vertical="center"/>
    </xf>
    <xf numFmtId="0" fontId="7" fillId="0" borderId="0" xfId="0" applyFont="1" applyAlignment="1">
      <alignment vertical="center" wrapText="1"/>
    </xf>
    <xf numFmtId="166" fontId="7" fillId="0" borderId="0" xfId="0" applyNumberFormat="1" applyFont="1" applyAlignment="1">
      <alignment vertical="center"/>
    </xf>
    <xf numFmtId="0" fontId="8" fillId="3" borderId="2" xfId="0" applyFont="1" applyFill="1" applyBorder="1" applyAlignment="1">
      <alignment vertical="center" wrapText="1"/>
    </xf>
    <xf numFmtId="0" fontId="0" fillId="0" borderId="0" xfId="0" applyAlignment="1">
      <alignment horizontal="right" vertical="center"/>
    </xf>
    <xf numFmtId="166" fontId="0" fillId="2" borderId="2" xfId="0" applyNumberForma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164" fontId="3" fillId="0" borderId="0" xfId="0" applyNumberFormat="1" applyFont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7" borderId="2" xfId="0" applyFill="1" applyBorder="1" applyAlignment="1">
      <alignment vertical="center"/>
    </xf>
    <xf numFmtId="0" fontId="4" fillId="0" borderId="0" xfId="0" applyFont="1" applyAlignment="1">
      <alignment vertical="center" wrapText="1"/>
    </xf>
    <xf numFmtId="164" fontId="3" fillId="0" borderId="7" xfId="0" applyNumberFormat="1" applyFon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2" borderId="9" xfId="0" applyFill="1" applyBorder="1" applyAlignment="1">
      <alignment horizontal="center" vertical="center"/>
    </xf>
    <xf numFmtId="0" fontId="7" fillId="0" borderId="9" xfId="0" applyFont="1" applyBorder="1" applyAlignment="1">
      <alignment horizontal="right" vertical="center"/>
    </xf>
    <xf numFmtId="0" fontId="7" fillId="7" borderId="2" xfId="0" applyFont="1" applyFill="1" applyBorder="1" applyAlignment="1">
      <alignment horizontal="center" vertical="center"/>
    </xf>
    <xf numFmtId="0" fontId="0" fillId="8" borderId="1" xfId="0" applyFill="1" applyBorder="1" applyAlignment="1">
      <alignment vertical="center" wrapText="1"/>
    </xf>
    <xf numFmtId="0" fontId="0" fillId="8" borderId="7" xfId="0" applyFill="1" applyBorder="1" applyAlignment="1">
      <alignment vertical="center"/>
    </xf>
    <xf numFmtId="164" fontId="3" fillId="8" borderId="7" xfId="0" applyNumberFormat="1" applyFont="1" applyFill="1" applyBorder="1" applyAlignment="1">
      <alignment horizontal="right" vertical="center"/>
    </xf>
    <xf numFmtId="0" fontId="7" fillId="8" borderId="9" xfId="0" applyFont="1" applyFill="1" applyBorder="1" applyAlignment="1">
      <alignment horizontal="right" vertical="center"/>
    </xf>
    <xf numFmtId="1" fontId="7" fillId="8" borderId="2" xfId="0" applyNumberFormat="1" applyFont="1" applyFill="1" applyBorder="1" applyAlignment="1">
      <alignment horizontal="center" vertical="center"/>
    </xf>
    <xf numFmtId="164" fontId="14" fillId="3" borderId="1" xfId="0" applyNumberFormat="1" applyFont="1" applyFill="1" applyBorder="1" applyAlignment="1">
      <alignment horizontal="left" vertical="center" wrapText="1"/>
    </xf>
    <xf numFmtId="0" fontId="15" fillId="3" borderId="7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vertical="center"/>
    </xf>
    <xf numFmtId="0" fontId="15" fillId="3" borderId="9" xfId="0" applyFont="1" applyFill="1" applyBorder="1" applyAlignment="1">
      <alignment vertical="center"/>
    </xf>
    <xf numFmtId="166" fontId="14" fillId="2" borderId="9" xfId="0" applyNumberFormat="1" applyFont="1" applyFill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166" fontId="0" fillId="0" borderId="1" xfId="0" applyNumberFormat="1" applyBorder="1" applyAlignment="1">
      <alignment vertical="center"/>
    </xf>
    <xf numFmtId="166" fontId="4" fillId="7" borderId="2" xfId="0" applyNumberFormat="1" applyFont="1" applyFill="1" applyBorder="1" applyAlignment="1">
      <alignment vertical="center"/>
    </xf>
    <xf numFmtId="166" fontId="0" fillId="0" borderId="3" xfId="0" applyNumberFormat="1" applyBorder="1" applyAlignment="1">
      <alignment vertical="center"/>
    </xf>
    <xf numFmtId="166" fontId="14" fillId="5" borderId="9" xfId="0" applyNumberFormat="1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175" fontId="0" fillId="0" borderId="0" xfId="0" applyNumberFormat="1" applyAlignment="1">
      <alignment vertical="center"/>
    </xf>
    <xf numFmtId="0" fontId="0" fillId="8" borderId="2" xfId="0" applyFill="1" applyBorder="1" applyAlignment="1">
      <alignment vertical="center"/>
    </xf>
    <xf numFmtId="0" fontId="3" fillId="0" borderId="21" xfId="0" applyFont="1" applyBorder="1"/>
    <xf numFmtId="0" fontId="3" fillId="0" borderId="22" xfId="0" applyFont="1" applyBorder="1"/>
    <xf numFmtId="0" fontId="0" fillId="0" borderId="22" xfId="0" applyBorder="1"/>
    <xf numFmtId="0" fontId="0" fillId="0" borderId="23" xfId="0" applyBorder="1"/>
    <xf numFmtId="0" fontId="3" fillId="0" borderId="24" xfId="0" applyFont="1" applyBorder="1"/>
    <xf numFmtId="0" fontId="0" fillId="0" borderId="0" xfId="0" applyBorder="1"/>
    <xf numFmtId="0" fontId="0" fillId="0" borderId="25" xfId="0" applyBorder="1"/>
    <xf numFmtId="0" fontId="0" fillId="0" borderId="24" xfId="0" applyBorder="1"/>
    <xf numFmtId="0" fontId="0" fillId="10" borderId="0" xfId="0" applyFill="1" applyBorder="1"/>
    <xf numFmtId="0" fontId="0" fillId="7" borderId="0" xfId="0" applyFill="1" applyBorder="1"/>
    <xf numFmtId="0" fontId="4" fillId="0" borderId="0" xfId="0" applyFont="1" applyBorder="1"/>
    <xf numFmtId="0" fontId="4" fillId="0" borderId="24" xfId="0" applyFont="1" applyBorder="1"/>
    <xf numFmtId="0" fontId="4" fillId="0" borderId="26" xfId="0" applyFont="1" applyBorder="1"/>
    <xf numFmtId="0" fontId="0" fillId="7" borderId="27" xfId="0" applyFill="1" applyBorder="1"/>
    <xf numFmtId="0" fontId="0" fillId="0" borderId="27" xfId="0" applyBorder="1"/>
    <xf numFmtId="0" fontId="0" fillId="0" borderId="28" xfId="0" applyBorder="1"/>
    <xf numFmtId="0" fontId="21" fillId="0" borderId="21" xfId="0" applyFont="1" applyBorder="1"/>
    <xf numFmtId="0" fontId="0" fillId="10" borderId="25" xfId="0" applyFill="1" applyBorder="1"/>
    <xf numFmtId="0" fontId="0" fillId="7" borderId="25" xfId="0" applyFill="1" applyBorder="1"/>
    <xf numFmtId="0" fontId="0" fillId="0" borderId="26" xfId="0" applyBorder="1"/>
    <xf numFmtId="0" fontId="0" fillId="0" borderId="0" xfId="0" applyFill="1" applyBorder="1"/>
    <xf numFmtId="0" fontId="0" fillId="10" borderId="0" xfId="0" applyFill="1" applyBorder="1" applyProtection="1">
      <protection locked="0"/>
    </xf>
    <xf numFmtId="0" fontId="0" fillId="10" borderId="25" xfId="0" applyFill="1" applyBorder="1" applyProtection="1">
      <protection locked="0"/>
    </xf>
    <xf numFmtId="0" fontId="4" fillId="0" borderId="24" xfId="0" applyFont="1" applyBorder="1" applyAlignment="1">
      <alignment wrapText="1"/>
    </xf>
    <xf numFmtId="0" fontId="4" fillId="8" borderId="0" xfId="0" applyFont="1" applyFill="1" applyBorder="1" applyProtection="1">
      <protection locked="0"/>
    </xf>
    <xf numFmtId="0" fontId="0" fillId="10" borderId="27" xfId="0" applyFill="1" applyBorder="1" applyProtection="1">
      <protection locked="0"/>
    </xf>
    <xf numFmtId="0" fontId="21" fillId="0" borderId="21" xfId="0" applyFont="1" applyBorder="1" applyAlignment="1">
      <alignment wrapText="1"/>
    </xf>
    <xf numFmtId="0" fontId="0" fillId="10" borderId="2" xfId="0" applyFill="1" applyBorder="1" applyAlignment="1" applyProtection="1">
      <alignment horizontal="center"/>
      <protection locked="0"/>
    </xf>
    <xf numFmtId="0" fontId="0" fillId="10" borderId="11" xfId="0" applyFill="1" applyBorder="1" applyAlignment="1" applyProtection="1">
      <alignment horizontal="center"/>
      <protection locked="0"/>
    </xf>
    <xf numFmtId="0" fontId="0" fillId="7" borderId="0" xfId="0" applyFill="1" applyBorder="1" applyProtection="1"/>
    <xf numFmtId="0" fontId="4" fillId="0" borderId="2" xfId="0" applyFont="1" applyBorder="1" applyProtection="1"/>
    <xf numFmtId="0" fontId="0" fillId="0" borderId="2" xfId="0" applyBorder="1" applyAlignment="1" applyProtection="1">
      <alignment horizontal="center"/>
    </xf>
    <xf numFmtId="0" fontId="0" fillId="0" borderId="2" xfId="0" applyBorder="1" applyProtection="1"/>
    <xf numFmtId="166" fontId="0" fillId="0" borderId="2" xfId="0" applyNumberFormat="1" applyBorder="1" applyProtection="1"/>
    <xf numFmtId="0" fontId="0" fillId="0" borderId="1" xfId="0" applyBorder="1" applyProtection="1"/>
    <xf numFmtId="0" fontId="0" fillId="0" borderId="0" xfId="0" applyProtection="1"/>
    <xf numFmtId="0" fontId="0" fillId="0" borderId="0" xfId="0" applyBorder="1" applyProtection="1"/>
    <xf numFmtId="0" fontId="0" fillId="0" borderId="0" xfId="0" applyBorder="1" applyAlignment="1" applyProtection="1">
      <alignment horizontal="center"/>
    </xf>
    <xf numFmtId="166" fontId="0" fillId="0" borderId="2" xfId="0" applyNumberFormat="1" applyFill="1" applyBorder="1" applyAlignment="1">
      <alignment vertical="center"/>
    </xf>
    <xf numFmtId="0" fontId="0" fillId="0" borderId="0" xfId="0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/>
    </xf>
    <xf numFmtId="171" fontId="3" fillId="11" borderId="0" xfId="2" applyNumberFormat="1" applyFont="1" applyFill="1" applyBorder="1" applyProtection="1"/>
    <xf numFmtId="0" fontId="9" fillId="0" borderId="0" xfId="0" applyFont="1" applyProtection="1"/>
    <xf numFmtId="0" fontId="9" fillId="11" borderId="0" xfId="0" applyFont="1" applyFill="1" applyBorder="1" applyProtection="1"/>
    <xf numFmtId="164" fontId="8" fillId="11" borderId="0" xfId="0" applyNumberFormat="1" applyFont="1" applyFill="1" applyBorder="1" applyAlignment="1" applyProtection="1">
      <alignment horizontal="left"/>
    </xf>
    <xf numFmtId="0" fontId="9" fillId="11" borderId="0" xfId="0" applyFont="1" applyFill="1" applyBorder="1" applyAlignment="1" applyProtection="1">
      <alignment horizontal="center"/>
    </xf>
    <xf numFmtId="166" fontId="8" fillId="11" borderId="0" xfId="0" applyNumberFormat="1" applyFont="1" applyFill="1" applyBorder="1" applyProtection="1"/>
    <xf numFmtId="166" fontId="0" fillId="0" borderId="2" xfId="0" quotePrefix="1" applyNumberFormat="1" applyBorder="1" applyAlignment="1">
      <alignment vertical="center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vertical="center"/>
    </xf>
    <xf numFmtId="0" fontId="4" fillId="0" borderId="1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9" fillId="0" borderId="0" xfId="0" applyFont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0" fillId="0" borderId="0" xfId="0" applyFill="1" applyBorder="1" applyProtection="1"/>
    <xf numFmtId="0" fontId="0" fillId="0" borderId="0" xfId="0" applyFill="1" applyBorder="1" applyAlignment="1">
      <alignment horizontal="center" vertical="center"/>
    </xf>
    <xf numFmtId="0" fontId="9" fillId="0" borderId="0" xfId="0" applyFont="1" applyFill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166" fontId="0" fillId="2" borderId="2" xfId="0" applyNumberFormat="1" applyFill="1" applyBorder="1" applyProtection="1"/>
    <xf numFmtId="0" fontId="4" fillId="0" borderId="1" xfId="0" quotePrefix="1" applyFont="1" applyBorder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4" fillId="11" borderId="0" xfId="0" applyFont="1" applyFill="1" applyBorder="1" applyAlignment="1" applyProtection="1">
      <alignment horizontal="center" wrapText="1"/>
    </xf>
    <xf numFmtId="0" fontId="7" fillId="0" borderId="0" xfId="0" applyFont="1" applyBorder="1" applyAlignment="1">
      <alignment horizontal="left" vertical="center" wrapText="1"/>
    </xf>
    <xf numFmtId="171" fontId="7" fillId="0" borderId="0" xfId="2" applyNumberFormat="1" applyFont="1" applyBorder="1" applyAlignment="1">
      <alignment vertical="center"/>
    </xf>
    <xf numFmtId="164" fontId="7" fillId="0" borderId="0" xfId="0" applyNumberFormat="1" applyFont="1" applyBorder="1" applyAlignment="1">
      <alignment horizontal="left" vertical="center" wrapText="1"/>
    </xf>
    <xf numFmtId="166" fontId="7" fillId="0" borderId="0" xfId="0" applyNumberFormat="1" applyFont="1" applyBorder="1" applyAlignment="1">
      <alignment vertical="center"/>
    </xf>
    <xf numFmtId="0" fontId="3" fillId="0" borderId="52" xfId="0" applyFont="1" applyBorder="1" applyAlignment="1">
      <alignment vertical="center" wrapText="1"/>
    </xf>
    <xf numFmtId="0" fontId="0" fillId="0" borderId="38" xfId="0" applyBorder="1" applyAlignment="1">
      <alignment horizontal="center" vertical="center"/>
    </xf>
    <xf numFmtId="0" fontId="0" fillId="0" borderId="38" xfId="0" applyBorder="1" applyAlignment="1">
      <alignment vertical="center"/>
    </xf>
    <xf numFmtId="0" fontId="6" fillId="0" borderId="45" xfId="0" applyFont="1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4" fillId="0" borderId="45" xfId="0" applyFont="1" applyBorder="1" applyProtection="1"/>
    <xf numFmtId="0" fontId="7" fillId="0" borderId="55" xfId="0" applyFont="1" applyBorder="1" applyAlignment="1">
      <alignment vertical="center" wrapText="1"/>
    </xf>
    <xf numFmtId="0" fontId="0" fillId="0" borderId="43" xfId="0" applyBorder="1" applyAlignment="1">
      <alignment vertical="center"/>
    </xf>
    <xf numFmtId="164" fontId="6" fillId="0" borderId="43" xfId="0" applyNumberFormat="1" applyFont="1" applyBorder="1" applyAlignment="1">
      <alignment horizontal="right" vertical="center"/>
    </xf>
    <xf numFmtId="166" fontId="7" fillId="2" borderId="43" xfId="0" applyNumberFormat="1" applyFont="1" applyFill="1" applyBorder="1" applyAlignment="1">
      <alignment vertical="center"/>
    </xf>
    <xf numFmtId="0" fontId="3" fillId="0" borderId="5" xfId="0" applyFont="1" applyBorder="1" applyAlignment="1" applyProtection="1">
      <alignment horizontal="left"/>
    </xf>
    <xf numFmtId="0" fontId="0" fillId="0" borderId="38" xfId="0" applyBorder="1" applyAlignment="1" applyProtection="1">
      <alignment horizontal="center"/>
    </xf>
    <xf numFmtId="0" fontId="0" fillId="0" borderId="38" xfId="0" applyBorder="1" applyProtection="1"/>
    <xf numFmtId="0" fontId="3" fillId="0" borderId="55" xfId="0" applyFont="1" applyBorder="1" applyAlignment="1" applyProtection="1">
      <alignment horizontal="left"/>
    </xf>
    <xf numFmtId="171" fontId="3" fillId="7" borderId="43" xfId="2" applyNumberFormat="1" applyFont="1" applyFill="1" applyBorder="1" applyProtection="1"/>
    <xf numFmtId="0" fontId="4" fillId="0" borderId="52" xfId="0" applyFont="1" applyBorder="1" applyAlignment="1">
      <alignment vertical="center" wrapText="1"/>
    </xf>
    <xf numFmtId="166" fontId="0" fillId="0" borderId="38" xfId="0" applyNumberFormat="1" applyBorder="1" applyAlignment="1">
      <alignment vertical="center"/>
    </xf>
    <xf numFmtId="166" fontId="0" fillId="2" borderId="38" xfId="0" applyNumberFormat="1" applyFill="1" applyBorder="1" applyAlignment="1">
      <alignment vertical="center"/>
    </xf>
    <xf numFmtId="0" fontId="4" fillId="0" borderId="45" xfId="0" applyFont="1" applyBorder="1" applyAlignment="1">
      <alignment vertical="center" wrapText="1"/>
    </xf>
    <xf numFmtId="0" fontId="0" fillId="0" borderId="43" xfId="0" applyBorder="1" applyAlignment="1">
      <alignment horizontal="center" vertical="center"/>
    </xf>
    <xf numFmtId="166" fontId="0" fillId="0" borderId="43" xfId="0" applyNumberFormat="1" applyBorder="1" applyAlignment="1">
      <alignment vertical="center"/>
    </xf>
    <xf numFmtId="0" fontId="0" fillId="2" borderId="38" xfId="0" applyFill="1" applyBorder="1" applyAlignment="1">
      <alignment horizontal="center" vertical="center"/>
    </xf>
    <xf numFmtId="164" fontId="7" fillId="0" borderId="55" xfId="0" applyNumberFormat="1" applyFont="1" applyBorder="1" applyAlignment="1">
      <alignment horizontal="left" vertical="center" wrapText="1"/>
    </xf>
    <xf numFmtId="0" fontId="0" fillId="0" borderId="37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5" xfId="0" applyBorder="1" applyAlignment="1" applyProtection="1">
      <alignment horizontal="center"/>
    </xf>
    <xf numFmtId="0" fontId="0" fillId="0" borderId="48" xfId="0" applyBorder="1" applyAlignment="1" applyProtection="1">
      <alignment horizontal="center"/>
    </xf>
    <xf numFmtId="0" fontId="0" fillId="0" borderId="45" xfId="0" applyBorder="1" applyAlignment="1">
      <alignment vertical="center"/>
    </xf>
    <xf numFmtId="0" fontId="0" fillId="7" borderId="55" xfId="0" applyFill="1" applyBorder="1" applyAlignment="1" applyProtection="1">
      <alignment horizontal="center"/>
    </xf>
    <xf numFmtId="0" fontId="4" fillId="0" borderId="1" xfId="0" quotePrefix="1" applyFont="1" applyBorder="1" applyAlignment="1">
      <alignment horizontal="right" vertical="center" wrapText="1"/>
    </xf>
    <xf numFmtId="0" fontId="0" fillId="0" borderId="2" xfId="0" applyBorder="1" applyAlignment="1" applyProtection="1">
      <alignment horizontal="center" wrapText="1"/>
    </xf>
    <xf numFmtId="0" fontId="0" fillId="7" borderId="2" xfId="0" applyFill="1" applyBorder="1" applyAlignment="1" applyProtection="1">
      <alignment horizontal="center"/>
    </xf>
    <xf numFmtId="0" fontId="0" fillId="0" borderId="51" xfId="0" applyBorder="1" applyAlignment="1" applyProtection="1">
      <alignment horizontal="center" wrapText="1"/>
    </xf>
    <xf numFmtId="0" fontId="0" fillId="7" borderId="43" xfId="0" applyFill="1" applyBorder="1" applyAlignment="1" applyProtection="1">
      <alignment horizontal="center"/>
    </xf>
    <xf numFmtId="0" fontId="4" fillId="0" borderId="2" xfId="0" applyFont="1" applyBorder="1" applyAlignment="1" applyProtection="1">
      <alignment horizontal="center"/>
    </xf>
    <xf numFmtId="0" fontId="0" fillId="0" borderId="49" xfId="0" applyBorder="1" applyAlignment="1" applyProtection="1">
      <alignment horizontal="center"/>
    </xf>
    <xf numFmtId="0" fontId="0" fillId="0" borderId="51" xfId="0" applyBorder="1" applyAlignment="1">
      <alignment horizontal="center" vertical="center"/>
    </xf>
    <xf numFmtId="0" fontId="4" fillId="0" borderId="45" xfId="0" applyFont="1" applyBorder="1" applyAlignment="1" applyProtection="1">
      <alignment horizontal="center"/>
    </xf>
    <xf numFmtId="0" fontId="0" fillId="0" borderId="48" xfId="0" applyBorder="1" applyAlignment="1">
      <alignment horizontal="center" vertical="center"/>
    </xf>
    <xf numFmtId="0" fontId="4" fillId="0" borderId="48" xfId="0" applyFont="1" applyBorder="1" applyAlignment="1" applyProtection="1">
      <alignment horizontal="center" wrapText="1"/>
    </xf>
    <xf numFmtId="0" fontId="4" fillId="0" borderId="45" xfId="0" applyFont="1" applyBorder="1" applyAlignment="1">
      <alignment horizontal="left" vertical="center" wrapText="1"/>
    </xf>
    <xf numFmtId="1" fontId="0" fillId="7" borderId="2" xfId="0" applyNumberFormat="1" applyFill="1" applyBorder="1" applyAlignment="1">
      <alignment horizontal="center" vertical="center"/>
    </xf>
    <xf numFmtId="0" fontId="0" fillId="0" borderId="55" xfId="0" applyBorder="1" applyAlignment="1" applyProtection="1">
      <alignment horizontal="center"/>
    </xf>
    <xf numFmtId="0" fontId="0" fillId="0" borderId="51" xfId="0" applyBorder="1" applyAlignment="1" applyProtection="1">
      <alignment horizontal="center"/>
    </xf>
    <xf numFmtId="0" fontId="0" fillId="0" borderId="51" xfId="0" applyFill="1" applyBorder="1" applyAlignment="1" applyProtection="1">
      <alignment horizontal="center"/>
    </xf>
    <xf numFmtId="0" fontId="9" fillId="0" borderId="51" xfId="0" applyFont="1" applyFill="1" applyBorder="1" applyAlignment="1" applyProtection="1">
      <alignment horizontal="center"/>
    </xf>
    <xf numFmtId="0" fontId="4" fillId="0" borderId="22" xfId="0" applyFont="1" applyBorder="1"/>
    <xf numFmtId="0" fontId="4" fillId="0" borderId="23" xfId="0" applyFont="1" applyBorder="1"/>
    <xf numFmtId="0" fontId="4" fillId="10" borderId="0" xfId="0" applyFont="1" applyFill="1" applyBorder="1" applyProtection="1">
      <protection locked="0"/>
    </xf>
    <xf numFmtId="0" fontId="4" fillId="10" borderId="25" xfId="0" applyFont="1" applyFill="1" applyBorder="1" applyProtection="1">
      <protection locked="0"/>
    </xf>
    <xf numFmtId="0" fontId="4" fillId="7" borderId="0" xfId="0" applyFont="1" applyFill="1" applyBorder="1"/>
    <xf numFmtId="0" fontId="4" fillId="7" borderId="25" xfId="0" applyFont="1" applyFill="1" applyBorder="1"/>
    <xf numFmtId="0" fontId="0" fillId="0" borderId="0" xfId="0" applyBorder="1" applyAlignment="1" applyProtection="1">
      <alignment horizontal="center" vertical="center"/>
    </xf>
    <xf numFmtId="171" fontId="3" fillId="0" borderId="0" xfId="2" applyNumberFormat="1" applyFont="1" applyFill="1" applyBorder="1" applyProtection="1"/>
    <xf numFmtId="0" fontId="0" fillId="0" borderId="0" xfId="0" applyFill="1" applyBorder="1" applyAlignment="1" applyProtection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3" fillId="0" borderId="52" xfId="0" applyFont="1" applyBorder="1" applyAlignment="1" applyProtection="1">
      <alignment vertical="center" wrapText="1"/>
    </xf>
    <xf numFmtId="0" fontId="0" fillId="0" borderId="38" xfId="0" applyBorder="1" applyAlignment="1" applyProtection="1">
      <alignment horizontal="center" vertical="center"/>
    </xf>
    <xf numFmtId="0" fontId="0" fillId="0" borderId="38" xfId="0" applyBorder="1" applyAlignment="1" applyProtection="1">
      <alignment vertical="center"/>
    </xf>
    <xf numFmtId="0" fontId="0" fillId="0" borderId="51" xfId="0" applyBorder="1" applyAlignment="1" applyProtection="1">
      <alignment horizontal="center" vertical="center"/>
    </xf>
    <xf numFmtId="166" fontId="7" fillId="0" borderId="0" xfId="0" applyNumberFormat="1" applyFont="1" applyFill="1" applyAlignment="1">
      <alignment vertical="center"/>
    </xf>
    <xf numFmtId="0" fontId="0" fillId="0" borderId="45" xfId="0" applyBorder="1" applyAlignment="1" applyProtection="1">
      <alignment horizontal="center"/>
      <protection locked="0"/>
    </xf>
    <xf numFmtId="0" fontId="3" fillId="0" borderId="55" xfId="0" applyFont="1" applyBorder="1" applyAlignment="1">
      <alignment vertical="center" wrapText="1"/>
    </xf>
    <xf numFmtId="0" fontId="0" fillId="0" borderId="55" xfId="0" applyFill="1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48" xfId="0" applyBorder="1" applyAlignment="1" applyProtection="1">
      <alignment horizontal="center"/>
    </xf>
    <xf numFmtId="0" fontId="4" fillId="0" borderId="52" xfId="0" applyFont="1" applyBorder="1" applyProtection="1"/>
    <xf numFmtId="0" fontId="0" fillId="0" borderId="2" xfId="0" applyFill="1" applyBorder="1" applyAlignment="1" applyProtection="1">
      <alignment horizontal="center"/>
    </xf>
    <xf numFmtId="0" fontId="9" fillId="11" borderId="2" xfId="0" applyFont="1" applyFill="1" applyBorder="1" applyAlignment="1" applyProtection="1">
      <alignment horizontal="center"/>
    </xf>
    <xf numFmtId="0" fontId="0" fillId="0" borderId="52" xfId="0" applyBorder="1" applyAlignment="1" applyProtection="1">
      <alignment horizontal="center"/>
    </xf>
    <xf numFmtId="0" fontId="9" fillId="11" borderId="45" xfId="0" applyFont="1" applyFill="1" applyBorder="1" applyAlignment="1" applyProtection="1">
      <alignment horizontal="center"/>
    </xf>
    <xf numFmtId="0" fontId="9" fillId="11" borderId="48" xfId="0" applyFont="1" applyFill="1" applyBorder="1" applyAlignment="1" applyProtection="1">
      <alignment horizontal="center"/>
    </xf>
    <xf numFmtId="0" fontId="0" fillId="0" borderId="43" xfId="0" applyBorder="1" applyAlignment="1" applyProtection="1">
      <alignment horizontal="center"/>
    </xf>
    <xf numFmtId="0" fontId="0" fillId="0" borderId="51" xfId="0" applyFill="1" applyBorder="1" applyAlignment="1">
      <alignment horizontal="center" vertical="center"/>
    </xf>
    <xf numFmtId="0" fontId="9" fillId="11" borderId="45" xfId="0" applyFont="1" applyFill="1" applyBorder="1" applyProtection="1"/>
    <xf numFmtId="0" fontId="0" fillId="0" borderId="55" xfId="0" applyBorder="1" applyAlignment="1">
      <alignment vertical="center"/>
    </xf>
    <xf numFmtId="0" fontId="0" fillId="0" borderId="49" xfId="0" applyBorder="1" applyAlignment="1">
      <alignment horizontal="center" vertical="center"/>
    </xf>
    <xf numFmtId="0" fontId="0" fillId="0" borderId="37" xfId="0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42" xfId="0" applyBorder="1" applyAlignment="1" applyProtection="1">
      <alignment horizontal="center"/>
    </xf>
    <xf numFmtId="0" fontId="0" fillId="0" borderId="8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43" xfId="0" applyBorder="1" applyAlignment="1" applyProtection="1">
      <alignment horizontal="center" vertical="center"/>
    </xf>
    <xf numFmtId="0" fontId="0" fillId="0" borderId="27" xfId="0" applyFill="1" applyBorder="1"/>
    <xf numFmtId="0" fontId="4" fillId="0" borderId="24" xfId="0" applyFont="1" applyBorder="1" applyAlignment="1">
      <alignment vertical="center"/>
    </xf>
    <xf numFmtId="0" fontId="0" fillId="10" borderId="0" xfId="0" applyFill="1" applyBorder="1" applyAlignment="1" applyProtection="1">
      <alignment vertical="center"/>
      <protection locked="0"/>
    </xf>
    <xf numFmtId="0" fontId="3" fillId="7" borderId="43" xfId="0" applyFont="1" applyFill="1" applyBorder="1" applyAlignment="1" applyProtection="1">
      <alignment horizontal="center"/>
    </xf>
    <xf numFmtId="0" fontId="0" fillId="0" borderId="0" xfId="0" applyBorder="1" applyAlignment="1"/>
    <xf numFmtId="0" fontId="0" fillId="0" borderId="25" xfId="0" applyBorder="1" applyAlignment="1"/>
    <xf numFmtId="0" fontId="0" fillId="0" borderId="2" xfId="0" applyBorder="1" applyAlignment="1" applyProtection="1">
      <alignment horizontal="center"/>
    </xf>
    <xf numFmtId="0" fontId="4" fillId="0" borderId="1" xfId="0" quotePrefix="1" applyFont="1" applyBorder="1" applyAlignment="1" applyProtection="1">
      <alignment horizontal="right"/>
    </xf>
    <xf numFmtId="0" fontId="3" fillId="0" borderId="1" xfId="0" applyFont="1" applyBorder="1" applyAlignment="1">
      <alignment vertical="center"/>
    </xf>
    <xf numFmtId="0" fontId="8" fillId="0" borderId="2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14" fontId="8" fillId="0" borderId="0" xfId="0" quotePrefix="1" applyNumberFormat="1" applyFont="1" applyBorder="1" applyAlignment="1" applyProtection="1">
      <alignment horizontal="center"/>
    </xf>
    <xf numFmtId="14" fontId="8" fillId="0" borderId="0" xfId="0" applyNumberFormat="1" applyFont="1" applyBorder="1" applyAlignment="1" applyProtection="1">
      <alignment horizontal="center"/>
    </xf>
    <xf numFmtId="0" fontId="4" fillId="0" borderId="0" xfId="0" applyFont="1" applyProtection="1">
      <protection locked="0"/>
    </xf>
    <xf numFmtId="0" fontId="3" fillId="0" borderId="0" xfId="0" applyFont="1" applyProtection="1">
      <protection locked="0"/>
    </xf>
    <xf numFmtId="2" fontId="8" fillId="3" borderId="0" xfId="0" applyNumberFormat="1" applyFont="1" applyFill="1" applyProtection="1"/>
    <xf numFmtId="0" fontId="0" fillId="3" borderId="0" xfId="0" applyFill="1" applyAlignment="1" applyProtection="1">
      <alignment horizontal="center"/>
    </xf>
    <xf numFmtId="0" fontId="0" fillId="3" borderId="0" xfId="0" applyFill="1" applyProtection="1"/>
    <xf numFmtId="49" fontId="9" fillId="0" borderId="0" xfId="0" applyNumberFormat="1" applyFont="1" applyProtection="1"/>
    <xf numFmtId="0" fontId="0" fillId="0" borderId="0" xfId="0" applyAlignment="1" applyProtection="1">
      <alignment horizontal="center"/>
    </xf>
    <xf numFmtId="0" fontId="8" fillId="0" borderId="37" xfId="0" applyFont="1" applyBorder="1" applyAlignment="1" applyProtection="1">
      <alignment horizontal="center"/>
    </xf>
    <xf numFmtId="0" fontId="8" fillId="0" borderId="38" xfId="0" applyFont="1" applyBorder="1" applyAlignment="1" applyProtection="1">
      <alignment horizontal="center"/>
    </xf>
    <xf numFmtId="0" fontId="6" fillId="0" borderId="0" xfId="0" applyFont="1" applyProtection="1"/>
    <xf numFmtId="0" fontId="8" fillId="0" borderId="0" xfId="0" applyFont="1" applyAlignment="1" applyProtection="1">
      <alignment horizontal="center"/>
    </xf>
    <xf numFmtId="0" fontId="8" fillId="0" borderId="0" xfId="0" applyFont="1" applyBorder="1" applyAlignment="1" applyProtection="1">
      <alignment horizontal="left"/>
    </xf>
    <xf numFmtId="164" fontId="8" fillId="0" borderId="0" xfId="0" applyNumberFormat="1" applyFont="1" applyAlignment="1" applyProtection="1">
      <alignment horizontal="left"/>
    </xf>
    <xf numFmtId="0" fontId="7" fillId="0" borderId="0" xfId="0" applyFont="1" applyAlignment="1" applyProtection="1">
      <alignment horizontal="center"/>
    </xf>
    <xf numFmtId="0" fontId="7" fillId="0" borderId="0" xfId="0" applyFont="1" applyProtection="1"/>
    <xf numFmtId="168" fontId="0" fillId="0" borderId="0" xfId="0" applyNumberFormat="1" applyProtection="1"/>
    <xf numFmtId="166" fontId="3" fillId="0" borderId="0" xfId="0" applyNumberFormat="1" applyFont="1" applyProtection="1"/>
    <xf numFmtId="0" fontId="7" fillId="0" borderId="2" xfId="0" applyFont="1" applyBorder="1" applyAlignment="1" applyProtection="1">
      <alignment horizontal="center"/>
    </xf>
    <xf numFmtId="0" fontId="3" fillId="3" borderId="2" xfId="0" applyFont="1" applyFill="1" applyBorder="1" applyAlignment="1" applyProtection="1">
      <alignment wrapText="1"/>
    </xf>
    <xf numFmtId="0" fontId="0" fillId="3" borderId="2" xfId="0" applyFill="1" applyBorder="1" applyAlignment="1" applyProtection="1">
      <alignment horizontal="center"/>
    </xf>
    <xf numFmtId="0" fontId="0" fillId="3" borderId="2" xfId="0" applyFill="1" applyBorder="1" applyProtection="1"/>
    <xf numFmtId="0" fontId="3" fillId="3" borderId="2" xfId="0" applyFont="1" applyFill="1" applyBorder="1" applyAlignment="1" applyProtection="1">
      <alignment horizontal="center"/>
    </xf>
    <xf numFmtId="166" fontId="7" fillId="2" borderId="2" xfId="0" applyNumberFormat="1" applyFont="1" applyFill="1" applyBorder="1" applyProtection="1"/>
    <xf numFmtId="0" fontId="7" fillId="3" borderId="2" xfId="0" applyFont="1" applyFill="1" applyBorder="1" applyAlignment="1" applyProtection="1">
      <alignment horizontal="center"/>
    </xf>
    <xf numFmtId="0" fontId="7" fillId="0" borderId="10" xfId="0" applyFont="1" applyBorder="1" applyProtection="1"/>
    <xf numFmtId="0" fontId="0" fillId="0" borderId="15" xfId="0" applyBorder="1" applyAlignment="1" applyProtection="1">
      <alignment horizontal="center"/>
    </xf>
    <xf numFmtId="0" fontId="0" fillId="0" borderId="15" xfId="0" applyBorder="1" applyProtection="1"/>
    <xf numFmtId="166" fontId="7" fillId="5" borderId="8" xfId="0" applyNumberFormat="1" applyFont="1" applyFill="1" applyBorder="1" applyProtection="1"/>
    <xf numFmtId="0" fontId="3" fillId="0" borderId="2" xfId="0" applyFont="1" applyBorder="1" applyAlignment="1" applyProtection="1">
      <alignment horizontal="center"/>
    </xf>
    <xf numFmtId="166" fontId="7" fillId="0" borderId="0" xfId="0" applyNumberFormat="1" applyFont="1" applyProtection="1"/>
    <xf numFmtId="0" fontId="3" fillId="0" borderId="1" xfId="0" applyFont="1" applyBorder="1" applyAlignment="1" applyProtection="1">
      <alignment wrapText="1"/>
    </xf>
    <xf numFmtId="0" fontId="0" fillId="0" borderId="7" xfId="0" applyBorder="1" applyAlignment="1" applyProtection="1">
      <alignment horizontal="center"/>
    </xf>
    <xf numFmtId="0" fontId="0" fillId="0" borderId="9" xfId="0" applyBorder="1" applyProtection="1"/>
    <xf numFmtId="0" fontId="25" fillId="0" borderId="2" xfId="0" applyFont="1" applyBorder="1" applyAlignment="1" applyProtection="1">
      <alignment horizontal="center"/>
    </xf>
    <xf numFmtId="169" fontId="7" fillId="2" borderId="2" xfId="1" applyNumberFormat="1" applyFont="1" applyFill="1" applyBorder="1" applyProtection="1"/>
    <xf numFmtId="167" fontId="7" fillId="2" borderId="2" xfId="0" applyNumberFormat="1" applyFont="1" applyFill="1" applyBorder="1" applyProtection="1"/>
    <xf numFmtId="0" fontId="3" fillId="0" borderId="1" xfId="0" applyFont="1" applyBorder="1" applyProtection="1"/>
    <xf numFmtId="0" fontId="25" fillId="0" borderId="11" xfId="0" applyFont="1" applyBorder="1" applyAlignment="1" applyProtection="1">
      <alignment horizontal="center"/>
    </xf>
    <xf numFmtId="0" fontId="7" fillId="0" borderId="12" xfId="0" applyFont="1" applyBorder="1" applyProtection="1"/>
    <xf numFmtId="0" fontId="0" fillId="0" borderId="13" xfId="0" applyBorder="1" applyAlignment="1" applyProtection="1">
      <alignment horizontal="center"/>
    </xf>
    <xf numFmtId="0" fontId="0" fillId="0" borderId="0" xfId="0" applyFill="1" applyProtection="1"/>
    <xf numFmtId="0" fontId="3" fillId="0" borderId="12" xfId="0" applyFont="1" applyBorder="1" applyProtection="1"/>
    <xf numFmtId="169" fontId="3" fillId="7" borderId="11" xfId="1" applyNumberFormat="1" applyFont="1" applyFill="1" applyBorder="1" applyProtection="1"/>
    <xf numFmtId="0" fontId="4" fillId="0" borderId="0" xfId="0" applyFont="1" applyProtection="1"/>
    <xf numFmtId="0" fontId="0" fillId="0" borderId="7" xfId="0" applyBorder="1" applyProtection="1"/>
    <xf numFmtId="0" fontId="27" fillId="0" borderId="7" xfId="0" applyFont="1" applyBorder="1" applyProtection="1"/>
    <xf numFmtId="0" fontId="0" fillId="0" borderId="14" xfId="0" applyBorder="1" applyProtection="1"/>
    <xf numFmtId="0" fontId="25" fillId="0" borderId="8" xfId="0" applyFont="1" applyBorder="1" applyAlignment="1" applyProtection="1">
      <alignment horizontal="center"/>
    </xf>
    <xf numFmtId="169" fontId="7" fillId="2" borderId="8" xfId="1" applyNumberFormat="1" applyFont="1" applyFill="1" applyBorder="1" applyProtection="1"/>
    <xf numFmtId="167" fontId="7" fillId="2" borderId="8" xfId="0" applyNumberFormat="1" applyFont="1" applyFill="1" applyBorder="1" applyProtection="1"/>
    <xf numFmtId="0" fontId="0" fillId="0" borderId="4" xfId="0" applyBorder="1" applyProtection="1"/>
    <xf numFmtId="169" fontId="7" fillId="2" borderId="11" xfId="1" applyNumberFormat="1" applyFont="1" applyFill="1" applyBorder="1" applyProtection="1"/>
    <xf numFmtId="0" fontId="3" fillId="0" borderId="10" xfId="0" applyFont="1" applyBorder="1" applyAlignment="1" applyProtection="1">
      <alignment wrapText="1"/>
    </xf>
    <xf numFmtId="0" fontId="3" fillId="0" borderId="0" xfId="0" applyFont="1" applyFill="1" applyProtection="1"/>
    <xf numFmtId="0" fontId="7" fillId="0" borderId="1" xfId="0" applyFont="1" applyBorder="1" applyProtection="1"/>
    <xf numFmtId="0" fontId="3" fillId="0" borderId="5" xfId="0" applyFont="1" applyBorder="1" applyProtection="1"/>
    <xf numFmtId="0" fontId="25" fillId="0" borderId="2" xfId="0" applyFont="1" applyBorder="1" applyAlignment="1" applyProtection="1">
      <alignment horizontal="center" vertical="center"/>
    </xf>
    <xf numFmtId="169" fontId="7" fillId="2" borderId="3" xfId="1" applyNumberFormat="1" applyFont="1" applyFill="1" applyBorder="1" applyProtection="1"/>
    <xf numFmtId="167" fontId="7" fillId="7" borderId="3" xfId="0" applyNumberFormat="1" applyFont="1" applyFill="1" applyBorder="1" applyProtection="1"/>
    <xf numFmtId="0" fontId="25" fillId="0" borderId="7" xfId="0" applyFont="1" applyBorder="1" applyAlignment="1" applyProtection="1">
      <alignment horizontal="center"/>
    </xf>
    <xf numFmtId="169" fontId="7" fillId="0" borderId="7" xfId="1" applyNumberFormat="1" applyFont="1" applyBorder="1" applyProtection="1"/>
    <xf numFmtId="167" fontId="7" fillId="0" borderId="7" xfId="0" applyNumberFormat="1" applyFont="1" applyBorder="1" applyProtection="1"/>
    <xf numFmtId="168" fontId="0" fillId="0" borderId="7" xfId="0" applyNumberFormat="1" applyBorder="1" applyProtection="1"/>
    <xf numFmtId="0" fontId="3" fillId="0" borderId="5" xfId="0" applyFont="1" applyBorder="1" applyAlignment="1" applyProtection="1">
      <alignment vertical="center"/>
    </xf>
    <xf numFmtId="0" fontId="25" fillId="0" borderId="3" xfId="0" applyFont="1" applyBorder="1" applyAlignment="1" applyProtection="1">
      <alignment horizontal="center"/>
    </xf>
    <xf numFmtId="0" fontId="7" fillId="0" borderId="5" xfId="0" applyFont="1" applyBorder="1" applyProtection="1"/>
    <xf numFmtId="0" fontId="0" fillId="0" borderId="6" xfId="0" applyBorder="1" applyProtection="1"/>
    <xf numFmtId="166" fontId="10" fillId="2" borderId="2" xfId="0" applyNumberFormat="1" applyFont="1" applyFill="1" applyBorder="1" applyProtection="1"/>
    <xf numFmtId="0" fontId="3" fillId="0" borderId="0" xfId="0" applyFont="1" applyProtection="1"/>
    <xf numFmtId="169" fontId="7" fillId="7" borderId="3" xfId="1" applyNumberFormat="1" applyFont="1" applyFill="1" applyBorder="1" applyProtection="1"/>
    <xf numFmtId="49" fontId="8" fillId="3" borderId="0" xfId="0" applyNumberFormat="1" applyFont="1" applyFill="1" applyProtection="1"/>
    <xf numFmtId="49" fontId="0" fillId="3" borderId="0" xfId="0" applyNumberFormat="1" applyFill="1" applyAlignment="1" applyProtection="1">
      <alignment horizontal="center"/>
    </xf>
    <xf numFmtId="49" fontId="0" fillId="3" borderId="0" xfId="0" applyNumberFormat="1" applyFill="1" applyProtection="1"/>
    <xf numFmtId="49" fontId="5" fillId="3" borderId="0" xfId="0" applyNumberFormat="1" applyFont="1" applyFill="1" applyProtection="1"/>
    <xf numFmtId="49" fontId="0" fillId="0" borderId="0" xfId="0" applyNumberFormat="1" applyAlignment="1" applyProtection="1">
      <alignment horizontal="center"/>
    </xf>
    <xf numFmtId="49" fontId="0" fillId="0" borderId="0" xfId="0" applyNumberFormat="1" applyAlignment="1" applyProtection="1">
      <alignment horizontal="centerContinuous"/>
    </xf>
    <xf numFmtId="49" fontId="0" fillId="0" borderId="0" xfId="0" applyNumberFormat="1" applyProtection="1"/>
    <xf numFmtId="49" fontId="0" fillId="0" borderId="0" xfId="0" applyNumberFormat="1" applyAlignment="1" applyProtection="1">
      <alignment horizontal="right"/>
    </xf>
    <xf numFmtId="0" fontId="8" fillId="0" borderId="2" xfId="0" applyFont="1" applyBorder="1" applyAlignment="1" applyProtection="1">
      <alignment horizontal="center" vertical="center" wrapText="1"/>
    </xf>
    <xf numFmtId="14" fontId="8" fillId="0" borderId="2" xfId="0" applyNumberFormat="1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Continuous"/>
    </xf>
    <xf numFmtId="0" fontId="0" fillId="0" borderId="0" xfId="0" applyAlignment="1" applyProtection="1">
      <alignment horizontal="right"/>
    </xf>
    <xf numFmtId="49" fontId="7" fillId="3" borderId="0" xfId="0" applyNumberFormat="1" applyFont="1" applyFill="1" applyProtection="1"/>
    <xf numFmtId="49" fontId="8" fillId="0" borderId="0" xfId="0" applyNumberFormat="1" applyFont="1" applyProtection="1"/>
    <xf numFmtId="49" fontId="0" fillId="0" borderId="29" xfId="0" applyNumberFormat="1" applyBorder="1" applyProtection="1"/>
    <xf numFmtId="49" fontId="0" fillId="0" borderId="30" xfId="0" applyNumberFormat="1" applyBorder="1" applyProtection="1"/>
    <xf numFmtId="0" fontId="0" fillId="0" borderId="50" xfId="0" applyBorder="1" applyProtection="1"/>
    <xf numFmtId="0" fontId="0" fillId="0" borderId="31" xfId="0" applyBorder="1" applyProtection="1"/>
    <xf numFmtId="16" fontId="0" fillId="0" borderId="0" xfId="0" applyNumberFormat="1" applyBorder="1" applyAlignment="1" applyProtection="1">
      <alignment horizontal="center"/>
    </xf>
    <xf numFmtId="0" fontId="3" fillId="0" borderId="33" xfId="0" applyFont="1" applyBorder="1" applyProtection="1"/>
    <xf numFmtId="0" fontId="0" fillId="0" borderId="36" xfId="0" applyBorder="1" applyAlignment="1" applyProtection="1">
      <alignment horizontal="center"/>
    </xf>
    <xf numFmtId="0" fontId="0" fillId="0" borderId="36" xfId="0" applyBorder="1" applyProtection="1"/>
    <xf numFmtId="0" fontId="0" fillId="0" borderId="34" xfId="0" applyBorder="1" applyAlignment="1" applyProtection="1">
      <alignment horizontal="center"/>
    </xf>
    <xf numFmtId="0" fontId="0" fillId="0" borderId="22" xfId="0" applyBorder="1" applyProtection="1"/>
    <xf numFmtId="0" fontId="0" fillId="0" borderId="23" xfId="0" applyBorder="1" applyProtection="1"/>
    <xf numFmtId="0" fontId="0" fillId="3" borderId="45" xfId="0" applyFill="1" applyBorder="1" applyProtection="1"/>
    <xf numFmtId="0" fontId="0" fillId="0" borderId="25" xfId="0" applyBorder="1" applyProtection="1"/>
    <xf numFmtId="0" fontId="0" fillId="3" borderId="46" xfId="0" applyFill="1" applyBorder="1" applyProtection="1"/>
    <xf numFmtId="0" fontId="0" fillId="3" borderId="11" xfId="0" applyFill="1" applyBorder="1" applyAlignment="1" applyProtection="1">
      <alignment horizontal="center"/>
    </xf>
    <xf numFmtId="0" fontId="0" fillId="3" borderId="11" xfId="0" applyFill="1" applyBorder="1" applyProtection="1"/>
    <xf numFmtId="0" fontId="7" fillId="0" borderId="47" xfId="0" applyFont="1" applyBorder="1" applyAlignment="1" applyProtection="1">
      <alignment horizontal="left"/>
    </xf>
    <xf numFmtId="0" fontId="3" fillId="0" borderId="7" xfId="0" applyFont="1" applyBorder="1" applyAlignment="1" applyProtection="1">
      <alignment horizontal="right"/>
    </xf>
    <xf numFmtId="0" fontId="3" fillId="0" borderId="7" xfId="0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0" fontId="7" fillId="2" borderId="9" xfId="0" applyFont="1" applyFill="1" applyBorder="1" applyAlignment="1" applyProtection="1">
      <alignment horizontal="center"/>
    </xf>
    <xf numFmtId="0" fontId="7" fillId="2" borderId="48" xfId="0" applyFont="1" applyFill="1" applyBorder="1" applyAlignment="1" applyProtection="1">
      <alignment horizontal="center"/>
    </xf>
    <xf numFmtId="0" fontId="3" fillId="0" borderId="39" xfId="0" applyFont="1" applyBorder="1" applyAlignment="1" applyProtection="1">
      <alignment horizontal="left"/>
    </xf>
    <xf numFmtId="0" fontId="0" fillId="0" borderId="40" xfId="0" applyBorder="1" applyAlignment="1" applyProtection="1">
      <alignment horizontal="center"/>
    </xf>
    <xf numFmtId="0" fontId="3" fillId="0" borderId="40" xfId="0" applyFont="1" applyBorder="1" applyAlignment="1" applyProtection="1">
      <alignment horizontal="right"/>
    </xf>
    <xf numFmtId="0" fontId="3" fillId="0" borderId="41" xfId="0" applyFont="1" applyBorder="1" applyAlignment="1" applyProtection="1">
      <alignment horizontal="center"/>
    </xf>
    <xf numFmtId="0" fontId="7" fillId="2" borderId="43" xfId="0" applyFont="1" applyFill="1" applyBorder="1" applyAlignment="1" applyProtection="1">
      <alignment horizontal="center"/>
    </xf>
    <xf numFmtId="0" fontId="7" fillId="2" borderId="49" xfId="0" applyFont="1" applyFill="1" applyBorder="1" applyAlignment="1" applyProtection="1">
      <alignment horizontal="center"/>
    </xf>
    <xf numFmtId="0" fontId="3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0" fillId="11" borderId="2" xfId="0" applyFill="1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2" borderId="2" xfId="0" applyFill="1" applyBorder="1" applyAlignment="1" applyProtection="1">
      <alignment horizontal="center"/>
    </xf>
    <xf numFmtId="0" fontId="0" fillId="2" borderId="48" xfId="0" applyFill="1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4" fillId="0" borderId="46" xfId="0" applyFont="1" applyBorder="1" applyProtection="1"/>
    <xf numFmtId="0" fontId="0" fillId="0" borderId="12" xfId="0" applyBorder="1" applyProtection="1"/>
    <xf numFmtId="0" fontId="0" fillId="0" borderId="8" xfId="0" applyBorder="1" applyAlignment="1" applyProtection="1">
      <alignment horizontal="center"/>
    </xf>
    <xf numFmtId="0" fontId="7" fillId="0" borderId="39" xfId="0" applyFont="1" applyBorder="1" applyProtection="1"/>
    <xf numFmtId="0" fontId="3" fillId="0" borderId="40" xfId="0" applyFont="1" applyBorder="1" applyAlignment="1" applyProtection="1">
      <alignment horizontal="center"/>
    </xf>
    <xf numFmtId="1" fontId="7" fillId="2" borderId="41" xfId="0" applyNumberFormat="1" applyFont="1" applyFill="1" applyBorder="1" applyAlignment="1" applyProtection="1">
      <alignment horizontal="center"/>
    </xf>
    <xf numFmtId="1" fontId="7" fillId="2" borderId="49" xfId="0" applyNumberFormat="1" applyFont="1" applyFill="1" applyBorder="1" applyAlignment="1" applyProtection="1">
      <alignment horizontal="center"/>
    </xf>
    <xf numFmtId="0" fontId="3" fillId="0" borderId="52" xfId="0" applyFont="1" applyBorder="1" applyProtection="1"/>
    <xf numFmtId="0" fontId="0" fillId="0" borderId="2" xfId="0" applyBorder="1" applyAlignment="1" applyProtection="1">
      <alignment horizontal="centerContinuous"/>
    </xf>
    <xf numFmtId="0" fontId="0" fillId="8" borderId="2" xfId="0" applyFill="1" applyBorder="1" applyAlignment="1" applyProtection="1">
      <alignment horizontal="center"/>
    </xf>
    <xf numFmtId="0" fontId="24" fillId="0" borderId="0" xfId="0" applyFont="1" applyAlignment="1" applyProtection="1">
      <alignment horizontal="center"/>
    </xf>
    <xf numFmtId="0" fontId="4" fillId="0" borderId="53" xfId="0" applyFont="1" applyBorder="1" applyProtection="1"/>
    <xf numFmtId="0" fontId="0" fillId="7" borderId="8" xfId="0" applyFill="1" applyBorder="1" applyAlignment="1" applyProtection="1">
      <alignment horizontal="center"/>
    </xf>
    <xf numFmtId="0" fontId="0" fillId="0" borderId="8" xfId="0" applyBorder="1" applyAlignment="1" applyProtection="1">
      <alignment horizontal="centerContinuous"/>
    </xf>
    <xf numFmtId="0" fontId="0" fillId="2" borderId="8" xfId="0" applyFill="1" applyBorder="1" applyAlignment="1" applyProtection="1">
      <alignment horizontal="center"/>
    </xf>
    <xf numFmtId="0" fontId="0" fillId="2" borderId="54" xfId="0" applyFill="1" applyBorder="1" applyAlignment="1" applyProtection="1">
      <alignment horizontal="center"/>
    </xf>
    <xf numFmtId="0" fontId="0" fillId="0" borderId="24" xfId="0" applyBorder="1" applyProtection="1"/>
    <xf numFmtId="0" fontId="0" fillId="8" borderId="48" xfId="0" applyFill="1" applyBorder="1" applyAlignment="1" applyProtection="1">
      <alignment horizontal="center"/>
    </xf>
    <xf numFmtId="0" fontId="4" fillId="0" borderId="24" xfId="0" applyFont="1" applyBorder="1" applyProtection="1"/>
    <xf numFmtId="0" fontId="0" fillId="0" borderId="0" xfId="0" applyBorder="1" applyAlignment="1" applyProtection="1">
      <alignment horizontal="centerContinuous"/>
    </xf>
    <xf numFmtId="0" fontId="0" fillId="0" borderId="25" xfId="0" applyBorder="1" applyAlignment="1" applyProtection="1">
      <alignment horizontal="center"/>
    </xf>
    <xf numFmtId="0" fontId="4" fillId="0" borderId="0" xfId="0" applyFont="1" applyAlignment="1" applyProtection="1">
      <alignment horizontal="left"/>
    </xf>
    <xf numFmtId="0" fontId="0" fillId="7" borderId="11" xfId="0" applyFill="1" applyBorder="1" applyAlignment="1" applyProtection="1">
      <alignment horizontal="center"/>
    </xf>
    <xf numFmtId="0" fontId="4" fillId="0" borderId="53" xfId="0" applyFont="1" applyBorder="1" applyAlignment="1" applyProtection="1">
      <alignment wrapText="1"/>
    </xf>
    <xf numFmtId="0" fontId="0" fillId="0" borderId="11" xfId="0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0" fillId="2" borderId="48" xfId="0" applyFill="1" applyBorder="1" applyAlignment="1" applyProtection="1">
      <alignment horizontal="center" vertical="center" wrapText="1"/>
    </xf>
    <xf numFmtId="0" fontId="0" fillId="0" borderId="24" xfId="0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0" fontId="0" fillId="0" borderId="0" xfId="0" applyAlignment="1" applyProtection="1">
      <alignment wrapText="1"/>
    </xf>
    <xf numFmtId="0" fontId="4" fillId="0" borderId="0" xfId="0" applyFont="1" applyAlignment="1" applyProtection="1">
      <alignment horizontal="center"/>
    </xf>
    <xf numFmtId="0" fontId="4" fillId="0" borderId="55" xfId="0" applyFont="1" applyBorder="1" applyProtection="1"/>
    <xf numFmtId="0" fontId="4" fillId="0" borderId="43" xfId="0" applyFont="1" applyBorder="1" applyAlignment="1" applyProtection="1">
      <alignment horizontal="centerContinuous"/>
    </xf>
    <xf numFmtId="0" fontId="0" fillId="2" borderId="43" xfId="0" applyFill="1" applyBorder="1" applyAlignment="1" applyProtection="1">
      <alignment horizontal="center"/>
    </xf>
    <xf numFmtId="0" fontId="0" fillId="2" borderId="49" xfId="0" applyFill="1" applyBorder="1" applyAlignment="1" applyProtection="1">
      <alignment horizontal="center"/>
    </xf>
    <xf numFmtId="0" fontId="7" fillId="0" borderId="21" xfId="0" applyFont="1" applyBorder="1" applyProtection="1"/>
    <xf numFmtId="0" fontId="0" fillId="0" borderId="22" xfId="0" applyBorder="1" applyAlignment="1" applyProtection="1">
      <alignment horizontal="center"/>
    </xf>
    <xf numFmtId="0" fontId="0" fillId="0" borderId="22" xfId="0" applyBorder="1" applyAlignment="1" applyProtection="1">
      <alignment horizontal="centerContinuous"/>
    </xf>
    <xf numFmtId="0" fontId="0" fillId="0" borderId="56" xfId="0" applyBorder="1" applyAlignment="1" applyProtection="1">
      <alignment horizontal="right"/>
    </xf>
    <xf numFmtId="1" fontId="7" fillId="2" borderId="56" xfId="0" applyNumberFormat="1" applyFont="1" applyFill="1" applyBorder="1" applyAlignment="1" applyProtection="1">
      <alignment horizontal="center"/>
    </xf>
    <xf numFmtId="1" fontId="7" fillId="2" borderId="23" xfId="0" applyNumberFormat="1" applyFont="1" applyFill="1" applyBorder="1" applyAlignment="1" applyProtection="1">
      <alignment horizontal="center"/>
    </xf>
    <xf numFmtId="0" fontId="11" fillId="4" borderId="47" xfId="0" applyFont="1" applyFill="1" applyBorder="1" applyAlignment="1" applyProtection="1">
      <alignment horizontal="left"/>
    </xf>
    <xf numFmtId="0" fontId="12" fillId="4" borderId="7" xfId="0" applyFont="1" applyFill="1" applyBorder="1" applyAlignment="1" applyProtection="1">
      <alignment horizontal="center"/>
    </xf>
    <xf numFmtId="0" fontId="12" fillId="4" borderId="7" xfId="0" applyFont="1" applyFill="1" applyBorder="1" applyAlignment="1" applyProtection="1">
      <alignment horizontal="right"/>
    </xf>
    <xf numFmtId="1" fontId="13" fillId="4" borderId="9" xfId="0" applyNumberFormat="1" applyFont="1" applyFill="1" applyBorder="1" applyAlignment="1" applyProtection="1">
      <alignment horizontal="center"/>
    </xf>
    <xf numFmtId="1" fontId="13" fillId="4" borderId="48" xfId="0" applyNumberFormat="1" applyFont="1" applyFill="1" applyBorder="1" applyAlignment="1" applyProtection="1">
      <alignment horizontal="center"/>
    </xf>
    <xf numFmtId="0" fontId="11" fillId="0" borderId="0" xfId="0" applyFont="1" applyAlignment="1" applyProtection="1">
      <alignment horizontal="left"/>
    </xf>
    <xf numFmtId="0" fontId="12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right"/>
    </xf>
    <xf numFmtId="0" fontId="12" fillId="0" borderId="0" xfId="0" applyFont="1" applyProtection="1"/>
    <xf numFmtId="1" fontId="13" fillId="0" borderId="0" xfId="0" applyNumberFormat="1" applyFont="1" applyAlignment="1" applyProtection="1">
      <alignment horizontal="center"/>
    </xf>
    <xf numFmtId="0" fontId="4" fillId="0" borderId="1" xfId="0" applyFont="1" applyBorder="1" applyProtection="1"/>
    <xf numFmtId="0" fontId="0" fillId="0" borderId="13" xfId="0" applyBorder="1" applyProtection="1"/>
    <xf numFmtId="0" fontId="0" fillId="2" borderId="11" xfId="0" applyFill="1" applyBorder="1" applyAlignment="1" applyProtection="1">
      <alignment horizontal="center"/>
    </xf>
    <xf numFmtId="0" fontId="0" fillId="2" borderId="11" xfId="0" applyFill="1" applyBorder="1" applyAlignment="1" applyProtection="1">
      <alignment horizontal="center" vertical="center"/>
    </xf>
    <xf numFmtId="0" fontId="0" fillId="0" borderId="10" xfId="0" applyBorder="1" applyAlignment="1" applyProtection="1">
      <alignment horizontal="left"/>
    </xf>
    <xf numFmtId="0" fontId="0" fillId="2" borderId="8" xfId="0" applyFill="1" applyBorder="1" applyProtection="1"/>
    <xf numFmtId="1" fontId="3" fillId="7" borderId="43" xfId="0" applyNumberFormat="1" applyFont="1" applyFill="1" applyBorder="1" applyAlignment="1" applyProtection="1">
      <alignment horizontal="center"/>
    </xf>
    <xf numFmtId="0" fontId="0" fillId="10" borderId="43" xfId="0" applyFill="1" applyBorder="1" applyAlignment="1" applyProtection="1">
      <alignment horizontal="center"/>
      <protection locked="0"/>
    </xf>
    <xf numFmtId="0" fontId="3" fillId="7" borderId="45" xfId="0" applyFont="1" applyFill="1" applyBorder="1" applyAlignment="1">
      <alignment vertical="center" wrapText="1"/>
    </xf>
    <xf numFmtId="0" fontId="3" fillId="7" borderId="11" xfId="0" applyFont="1" applyFill="1" applyBorder="1" applyAlignment="1">
      <alignment vertical="center" wrapText="1"/>
    </xf>
    <xf numFmtId="3" fontId="6" fillId="0" borderId="5" xfId="0" applyNumberFormat="1" applyFont="1" applyBorder="1" applyProtection="1"/>
    <xf numFmtId="9" fontId="0" fillId="0" borderId="0" xfId="0" applyNumberFormat="1" applyProtection="1"/>
    <xf numFmtId="3" fontId="0" fillId="0" borderId="0" xfId="0" applyNumberFormat="1" applyProtection="1"/>
    <xf numFmtId="2" fontId="8" fillId="0" borderId="0" xfId="0" applyNumberFormat="1" applyFont="1" applyProtection="1"/>
    <xf numFmtId="2" fontId="8" fillId="0" borderId="2" xfId="0" applyNumberFormat="1" applyFont="1" applyBorder="1" applyAlignment="1" applyProtection="1">
      <alignment horizontal="center"/>
    </xf>
    <xf numFmtId="2" fontId="8" fillId="0" borderId="2" xfId="0" applyNumberFormat="1" applyFont="1" applyBorder="1" applyAlignment="1" applyProtection="1">
      <alignment horizontal="center" vertical="center" wrapText="1"/>
    </xf>
    <xf numFmtId="2" fontId="0" fillId="12" borderId="11" xfId="0" applyNumberFormat="1" applyFill="1" applyBorder="1" applyAlignment="1" applyProtection="1">
      <alignment horizontal="center"/>
    </xf>
    <xf numFmtId="2" fontId="0" fillId="12" borderId="3" xfId="0" applyNumberFormat="1" applyFill="1" applyBorder="1" applyAlignment="1" applyProtection="1">
      <alignment horizontal="center"/>
    </xf>
    <xf numFmtId="0" fontId="0" fillId="7" borderId="3" xfId="0" applyFill="1" applyBorder="1" applyAlignment="1" applyProtection="1">
      <alignment horizontal="center"/>
    </xf>
    <xf numFmtId="0" fontId="0" fillId="2" borderId="3" xfId="0" applyFill="1" applyBorder="1" applyAlignment="1" applyProtection="1">
      <alignment horizontal="center"/>
    </xf>
    <xf numFmtId="2" fontId="4" fillId="12" borderId="3" xfId="0" applyNumberFormat="1" applyFont="1" applyFill="1" applyBorder="1" applyAlignment="1" applyProtection="1">
      <alignment horizontal="center"/>
    </xf>
    <xf numFmtId="174" fontId="0" fillId="0" borderId="0" xfId="0" applyNumberFormat="1" applyProtection="1"/>
    <xf numFmtId="10" fontId="0" fillId="0" borderId="0" xfId="0" applyNumberFormat="1" applyProtection="1"/>
    <xf numFmtId="1" fontId="0" fillId="2" borderId="2" xfId="0" applyNumberFormat="1" applyFill="1" applyBorder="1" applyAlignment="1" applyProtection="1">
      <alignment horizontal="center"/>
    </xf>
    <xf numFmtId="0" fontId="0" fillId="7" borderId="0" xfId="0" applyFill="1" applyProtection="1"/>
    <xf numFmtId="0" fontId="9" fillId="7" borderId="2" xfId="0" applyFont="1" applyFill="1" applyBorder="1" applyAlignment="1">
      <alignment horizontal="center" vertical="center"/>
    </xf>
    <xf numFmtId="173" fontId="9" fillId="7" borderId="27" xfId="0" applyNumberFormat="1" applyFont="1" applyFill="1" applyBorder="1" applyAlignment="1">
      <alignment horizont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horizontal="center" vertical="center"/>
    </xf>
    <xf numFmtId="0" fontId="4" fillId="0" borderId="43" xfId="0" applyFont="1" applyBorder="1" applyProtection="1"/>
    <xf numFmtId="166" fontId="0" fillId="0" borderId="43" xfId="0" applyNumberFormat="1" applyBorder="1" applyProtection="1"/>
    <xf numFmtId="166" fontId="4" fillId="0" borderId="43" xfId="0" applyNumberFormat="1" applyFont="1" applyBorder="1" applyProtection="1"/>
    <xf numFmtId="1" fontId="7" fillId="0" borderId="22" xfId="0" applyNumberFormat="1" applyFont="1" applyFill="1" applyBorder="1" applyAlignment="1">
      <alignment horizontal="center" vertical="center"/>
    </xf>
    <xf numFmtId="0" fontId="0" fillId="0" borderId="22" xfId="0" applyFill="1" applyBorder="1" applyAlignment="1">
      <alignment vertical="center"/>
    </xf>
    <xf numFmtId="164" fontId="6" fillId="0" borderId="22" xfId="0" applyNumberFormat="1" applyFont="1" applyFill="1" applyBorder="1" applyAlignment="1">
      <alignment horizontal="right" vertical="center"/>
    </xf>
    <xf numFmtId="166" fontId="7" fillId="0" borderId="22" xfId="0" applyNumberFormat="1" applyFont="1" applyFill="1" applyBorder="1" applyAlignment="1">
      <alignment vertical="center"/>
    </xf>
    <xf numFmtId="0" fontId="0" fillId="0" borderId="22" xfId="0" applyFill="1" applyBorder="1" applyAlignment="1" applyProtection="1">
      <alignment horizontal="center"/>
    </xf>
    <xf numFmtId="0" fontId="0" fillId="0" borderId="22" xfId="0" applyFill="1" applyBorder="1" applyAlignment="1">
      <alignment horizontal="center" vertical="center"/>
    </xf>
    <xf numFmtId="0" fontId="0" fillId="0" borderId="38" xfId="0" applyBorder="1" applyAlignment="1" applyProtection="1">
      <alignment vertical="center" wrapText="1"/>
    </xf>
    <xf numFmtId="0" fontId="0" fillId="0" borderId="38" xfId="0" applyBorder="1" applyAlignment="1" applyProtection="1">
      <alignment horizontal="center" vertical="center" wrapText="1"/>
    </xf>
    <xf numFmtId="0" fontId="0" fillId="0" borderId="55" xfId="0" applyBorder="1" applyProtection="1"/>
    <xf numFmtId="1" fontId="0" fillId="10" borderId="2" xfId="0" applyNumberFormat="1" applyFill="1" applyBorder="1" applyAlignment="1" applyProtection="1">
      <alignment horizontal="center" vertical="center"/>
      <protection locked="0"/>
    </xf>
    <xf numFmtId="1" fontId="7" fillId="10" borderId="43" xfId="0" applyNumberFormat="1" applyFont="1" applyFill="1" applyBorder="1" applyAlignment="1" applyProtection="1">
      <alignment horizontal="center" vertical="center"/>
      <protection locked="0"/>
    </xf>
    <xf numFmtId="0" fontId="3" fillId="10" borderId="43" xfId="0" applyFont="1" applyFill="1" applyBorder="1" applyAlignment="1" applyProtection="1">
      <alignment horizontal="center"/>
      <protection locked="0"/>
    </xf>
    <xf numFmtId="0" fontId="4" fillId="0" borderId="51" xfId="0" applyFont="1" applyBorder="1" applyAlignment="1">
      <alignment vertical="center" wrapText="1"/>
    </xf>
    <xf numFmtId="167" fontId="7" fillId="0" borderId="11" xfId="0" applyNumberFormat="1" applyFont="1" applyBorder="1" applyProtection="1"/>
    <xf numFmtId="167" fontId="7" fillId="10" borderId="2" xfId="0" applyNumberFormat="1" applyFont="1" applyFill="1" applyBorder="1" applyProtection="1">
      <protection locked="0"/>
    </xf>
    <xf numFmtId="167" fontId="7" fillId="10" borderId="11" xfId="0" applyNumberFormat="1" applyFont="1" applyFill="1" applyBorder="1" applyProtection="1">
      <protection locked="0"/>
    </xf>
    <xf numFmtId="167" fontId="7" fillId="10" borderId="3" xfId="0" applyNumberFormat="1" applyFont="1" applyFill="1" applyBorder="1" applyAlignment="1" applyProtection="1">
      <alignment horizontal="right"/>
      <protection locked="0"/>
    </xf>
    <xf numFmtId="167" fontId="7" fillId="10" borderId="3" xfId="0" applyNumberFormat="1" applyFont="1" applyFill="1" applyBorder="1" applyProtection="1">
      <protection locked="0"/>
    </xf>
    <xf numFmtId="167" fontId="7" fillId="10" borderId="8" xfId="0" applyNumberFormat="1" applyFont="1" applyFill="1" applyBorder="1" applyProtection="1">
      <protection locked="0"/>
    </xf>
    <xf numFmtId="9" fontId="3" fillId="10" borderId="2" xfId="0" applyNumberFormat="1" applyFont="1" applyFill="1" applyBorder="1" applyProtection="1">
      <protection locked="0"/>
    </xf>
    <xf numFmtId="1" fontId="0" fillId="13" borderId="2" xfId="0" applyNumberFormat="1" applyFill="1" applyBorder="1" applyAlignment="1" applyProtection="1">
      <alignment horizontal="center" vertical="center"/>
      <protection locked="0"/>
    </xf>
    <xf numFmtId="1" fontId="0" fillId="13" borderId="2" xfId="0" applyNumberFormat="1" applyFill="1" applyBorder="1" applyAlignment="1" applyProtection="1">
      <alignment horizontal="center"/>
      <protection locked="0"/>
    </xf>
    <xf numFmtId="0" fontId="0" fillId="13" borderId="49" xfId="0" applyFill="1" applyBorder="1" applyProtection="1">
      <protection locked="0"/>
    </xf>
    <xf numFmtId="0" fontId="8" fillId="0" borderId="0" xfId="0" applyFont="1" applyBorder="1" applyAlignment="1">
      <alignment vertical="top" wrapText="1"/>
    </xf>
    <xf numFmtId="0" fontId="3" fillId="0" borderId="0" xfId="0" applyFont="1" applyFill="1" applyAlignment="1">
      <alignment horizontal="left" vertical="center"/>
    </xf>
    <xf numFmtId="0" fontId="8" fillId="10" borderId="42" xfId="0" applyFont="1" applyFill="1" applyBorder="1" applyAlignment="1" applyProtection="1">
      <alignment horizontal="center" vertical="center" wrapText="1"/>
      <protection locked="0"/>
    </xf>
    <xf numFmtId="2" fontId="8" fillId="3" borderId="0" xfId="0" applyNumberFormat="1" applyFont="1" applyFill="1" applyAlignment="1">
      <alignment horizontal="center" vertical="center" wrapText="1"/>
    </xf>
    <xf numFmtId="168" fontId="0" fillId="13" borderId="2" xfId="0" applyNumberFormat="1" applyFill="1" applyBorder="1" applyProtection="1"/>
    <xf numFmtId="168" fontId="0" fillId="13" borderId="11" xfId="0" applyNumberFormat="1" applyFill="1" applyBorder="1" applyProtection="1"/>
    <xf numFmtId="168" fontId="0" fillId="13" borderId="8" xfId="0" applyNumberFormat="1" applyFill="1" applyBorder="1" applyProtection="1"/>
    <xf numFmtId="168" fontId="0" fillId="13" borderId="3" xfId="0" applyNumberFormat="1" applyFill="1" applyBorder="1" applyProtection="1"/>
    <xf numFmtId="0" fontId="8" fillId="0" borderId="0" xfId="0" applyFont="1" applyBorder="1" applyAlignment="1"/>
    <xf numFmtId="0" fontId="8" fillId="0" borderId="38" xfId="0" applyFont="1" applyBorder="1" applyAlignment="1">
      <alignment vertical="center"/>
    </xf>
    <xf numFmtId="0" fontId="8" fillId="0" borderId="38" xfId="0" applyFont="1" applyBorder="1" applyAlignment="1">
      <alignment horizontal="center" vertical="center"/>
    </xf>
    <xf numFmtId="10" fontId="9" fillId="13" borderId="2" xfId="0" applyNumberFormat="1" applyFont="1" applyFill="1" applyBorder="1" applyAlignment="1" applyProtection="1">
      <alignment horizontal="right"/>
      <protection locked="0"/>
    </xf>
    <xf numFmtId="10" fontId="9" fillId="13" borderId="11" xfId="0" applyNumberFormat="1" applyFont="1" applyFill="1" applyBorder="1" applyAlignment="1" applyProtection="1">
      <alignment horizontal="right" vertical="center"/>
      <protection locked="0"/>
    </xf>
    <xf numFmtId="0" fontId="20" fillId="0" borderId="0" xfId="0" applyFont="1" applyFill="1"/>
    <xf numFmtId="172" fontId="20" fillId="13" borderId="1" xfId="0" applyNumberFormat="1" applyFont="1" applyFill="1" applyBorder="1" applyAlignment="1" applyProtection="1">
      <alignment horizontal="left" vertical="center"/>
      <protection locked="0"/>
    </xf>
    <xf numFmtId="0" fontId="20" fillId="0" borderId="38" xfId="0" applyFont="1" applyBorder="1" applyAlignment="1">
      <alignment horizontal="center"/>
    </xf>
    <xf numFmtId="0" fontId="20" fillId="0" borderId="38" xfId="0" applyFont="1" applyBorder="1"/>
    <xf numFmtId="0" fontId="20" fillId="0" borderId="51" xfId="0" applyFont="1" applyBorder="1" applyAlignment="1">
      <alignment horizontal="center"/>
    </xf>
    <xf numFmtId="6" fontId="20" fillId="0" borderId="48" xfId="0" applyNumberFormat="1" applyFont="1" applyBorder="1" applyAlignment="1">
      <alignment horizontal="center"/>
    </xf>
    <xf numFmtId="0" fontId="20" fillId="0" borderId="43" xfId="0" applyFont="1" applyBorder="1" applyAlignment="1">
      <alignment horizontal="center"/>
    </xf>
    <xf numFmtId="6" fontId="20" fillId="0" borderId="49" xfId="0" applyNumberFormat="1" applyFont="1" applyBorder="1" applyAlignment="1">
      <alignment horizontal="center"/>
    </xf>
    <xf numFmtId="0" fontId="0" fillId="0" borderId="2" xfId="0" applyBorder="1"/>
    <xf numFmtId="8" fontId="20" fillId="0" borderId="2" xfId="0" applyNumberFormat="1" applyFont="1" applyBorder="1" applyAlignment="1">
      <alignment horizontal="center"/>
    </xf>
    <xf numFmtId="0" fontId="20" fillId="0" borderId="52" xfId="0" applyFont="1" applyBorder="1"/>
    <xf numFmtId="0" fontId="20" fillId="0" borderId="51" xfId="0" applyFont="1" applyBorder="1"/>
    <xf numFmtId="0" fontId="20" fillId="0" borderId="48" xfId="0" applyFont="1" applyBorder="1"/>
    <xf numFmtId="0" fontId="20" fillId="0" borderId="45" xfId="0" applyFont="1" applyBorder="1"/>
    <xf numFmtId="8" fontId="20" fillId="0" borderId="43" xfId="0" applyNumberFormat="1" applyFont="1" applyBorder="1" applyAlignment="1">
      <alignment horizontal="center"/>
    </xf>
    <xf numFmtId="0" fontId="20" fillId="0" borderId="49" xfId="0" applyFont="1" applyBorder="1"/>
    <xf numFmtId="0" fontId="0" fillId="0" borderId="38" xfId="0" applyBorder="1"/>
    <xf numFmtId="0" fontId="0" fillId="0" borderId="51" xfId="0" applyBorder="1"/>
    <xf numFmtId="0" fontId="0" fillId="0" borderId="48" xfId="0" applyBorder="1"/>
    <xf numFmtId="0" fontId="0" fillId="0" borderId="43" xfId="0" applyBorder="1"/>
    <xf numFmtId="0" fontId="0" fillId="0" borderId="49" xfId="0" applyBorder="1"/>
    <xf numFmtId="0" fontId="9" fillId="13" borderId="19" xfId="0" applyFont="1" applyFill="1" applyBorder="1" applyAlignment="1" applyProtection="1">
      <alignment vertical="center"/>
      <protection locked="0"/>
    </xf>
    <xf numFmtId="0" fontId="0" fillId="10" borderId="2" xfId="0" applyFill="1" applyBorder="1" applyAlignment="1" applyProtection="1">
      <alignment horizontal="center" vertical="center"/>
      <protection locked="0"/>
    </xf>
    <xf numFmtId="0" fontId="4" fillId="10" borderId="2" xfId="0" applyFont="1" applyFill="1" applyBorder="1" applyAlignment="1" applyProtection="1">
      <alignment horizontal="center" vertical="center"/>
      <protection locked="0"/>
    </xf>
    <xf numFmtId="166" fontId="4" fillId="10" borderId="2" xfId="0" applyNumberFormat="1" applyFont="1" applyFill="1" applyBorder="1" applyAlignment="1" applyProtection="1">
      <alignment vertical="center"/>
      <protection locked="0"/>
    </xf>
    <xf numFmtId="0" fontId="0" fillId="0" borderId="48" xfId="0" applyBorder="1" applyAlignment="1" applyProtection="1">
      <alignment horizontal="center"/>
    </xf>
    <xf numFmtId="0" fontId="4" fillId="7" borderId="0" xfId="0" applyFont="1" applyFill="1" applyBorder="1" applyProtection="1"/>
    <xf numFmtId="166" fontId="0" fillId="14" borderId="2" xfId="0" applyNumberFormat="1" applyFill="1" applyBorder="1" applyAlignment="1">
      <alignment vertical="center"/>
    </xf>
    <xf numFmtId="0" fontId="4" fillId="14" borderId="1" xfId="0" applyFont="1" applyFill="1" applyBorder="1" applyAlignment="1">
      <alignment vertical="center"/>
    </xf>
    <xf numFmtId="0" fontId="0" fillId="0" borderId="48" xfId="0" applyBorder="1" applyAlignment="1" applyProtection="1">
      <alignment horizontal="center"/>
    </xf>
    <xf numFmtId="0" fontId="0" fillId="0" borderId="25" xfId="0" applyFill="1" applyBorder="1"/>
    <xf numFmtId="0" fontId="4" fillId="7" borderId="0" xfId="0" applyNumberFormat="1" applyFont="1" applyFill="1" applyBorder="1" applyAlignment="1">
      <alignment horizontal="right" vertical="center"/>
    </xf>
    <xf numFmtId="0" fontId="0" fillId="0" borderId="0" xfId="0" applyBorder="1" applyAlignment="1">
      <alignment horizontal="center"/>
    </xf>
    <xf numFmtId="9" fontId="29" fillId="4" borderId="9" xfId="0" applyNumberFormat="1" applyFont="1" applyFill="1" applyBorder="1" applyAlignment="1" applyProtection="1">
      <alignment horizontal="right"/>
    </xf>
    <xf numFmtId="166" fontId="0" fillId="7" borderId="2" xfId="0" applyNumberForma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3" fillId="0" borderId="16" xfId="0" applyFont="1" applyBorder="1" applyAlignment="1" applyProtection="1">
      <alignment horizontal="left"/>
      <protection locked="0"/>
    </xf>
    <xf numFmtId="0" fontId="9" fillId="13" borderId="60" xfId="0" applyFont="1" applyFill="1" applyBorder="1" applyProtection="1">
      <protection locked="0"/>
    </xf>
    <xf numFmtId="166" fontId="0" fillId="14" borderId="43" xfId="0" applyNumberFormat="1" applyFill="1" applyBorder="1" applyProtection="1"/>
    <xf numFmtId="0" fontId="4" fillId="14" borderId="43" xfId="0" applyFont="1" applyFill="1" applyBorder="1" applyProtection="1"/>
    <xf numFmtId="0" fontId="9" fillId="7" borderId="2" xfId="0" applyFont="1" applyFill="1" applyBorder="1" applyAlignment="1" applyProtection="1">
      <alignment horizontal="center" vertical="center"/>
    </xf>
    <xf numFmtId="0" fontId="1" fillId="0" borderId="2" xfId="0" applyNumberFormat="1" applyFont="1" applyBorder="1" applyAlignment="1">
      <alignment horizontal="center"/>
    </xf>
    <xf numFmtId="0" fontId="2" fillId="0" borderId="2" xfId="0" applyNumberFormat="1" applyFont="1" applyBorder="1"/>
    <xf numFmtId="0" fontId="2" fillId="0" borderId="43" xfId="0" applyNumberFormat="1" applyFont="1" applyBorder="1"/>
    <xf numFmtId="0" fontId="4" fillId="7" borderId="0" xfId="0" applyNumberFormat="1" applyFont="1" applyFill="1" applyBorder="1" applyAlignment="1" applyProtection="1">
      <alignment horizontal="right" vertical="center"/>
    </xf>
    <xf numFmtId="0" fontId="0" fillId="10" borderId="0" xfId="0" applyFill="1" applyBorder="1" applyProtection="1"/>
    <xf numFmtId="0" fontId="0" fillId="10" borderId="11" xfId="0" applyFill="1" applyBorder="1" applyAlignment="1" applyProtection="1">
      <alignment horizontal="center"/>
    </xf>
    <xf numFmtId="0" fontId="0" fillId="12" borderId="3" xfId="0" applyNumberFormat="1" applyFill="1" applyBorder="1" applyAlignment="1" applyProtection="1">
      <alignment horizontal="center"/>
    </xf>
    <xf numFmtId="0" fontId="3" fillId="0" borderId="0" xfId="0" applyFont="1" applyBorder="1" applyAlignment="1">
      <alignment vertical="center"/>
    </xf>
    <xf numFmtId="0" fontId="0" fillId="0" borderId="48" xfId="0" applyBorder="1" applyAlignment="1" applyProtection="1">
      <alignment horizontal="center"/>
    </xf>
    <xf numFmtId="14" fontId="8" fillId="10" borderId="43" xfId="0" applyNumberFormat="1" applyFont="1" applyFill="1" applyBorder="1" applyAlignment="1" applyProtection="1">
      <alignment horizontal="left" vertical="center" wrapText="1"/>
      <protection locked="0"/>
    </xf>
    <xf numFmtId="164" fontId="3" fillId="0" borderId="0" xfId="0" applyNumberFormat="1" applyFont="1" applyFill="1" applyBorder="1" applyAlignment="1" applyProtection="1">
      <alignment horizontal="left" vertical="center"/>
    </xf>
    <xf numFmtId="167" fontId="3" fillId="0" borderId="0" xfId="0" applyNumberFormat="1" applyFont="1" applyFill="1" applyBorder="1" applyProtection="1"/>
    <xf numFmtId="0" fontId="6" fillId="0" borderId="0" xfId="0" applyFont="1" applyBorder="1" applyProtection="1"/>
    <xf numFmtId="0" fontId="7" fillId="0" borderId="0" xfId="0" applyFont="1" applyBorder="1" applyProtection="1"/>
    <xf numFmtId="0" fontId="6" fillId="0" borderId="0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167" fontId="6" fillId="13" borderId="19" xfId="0" applyNumberFormat="1" applyFont="1" applyFill="1" applyBorder="1" applyProtection="1">
      <protection locked="0"/>
    </xf>
    <xf numFmtId="3" fontId="6" fillId="0" borderId="51" xfId="0" applyNumberFormat="1" applyFont="1" applyBorder="1" applyProtection="1"/>
    <xf numFmtId="167" fontId="0" fillId="2" borderId="48" xfId="0" applyNumberFormat="1" applyFill="1" applyBorder="1" applyProtection="1"/>
    <xf numFmtId="167" fontId="6" fillId="13" borderId="48" xfId="0" applyNumberFormat="1" applyFont="1" applyFill="1" applyBorder="1" applyProtection="1">
      <protection locked="0"/>
    </xf>
    <xf numFmtId="167" fontId="0" fillId="13" borderId="48" xfId="0" applyNumberFormat="1" applyFill="1" applyBorder="1" applyProtection="1">
      <protection locked="0"/>
    </xf>
    <xf numFmtId="167" fontId="3" fillId="7" borderId="49" xfId="0" applyNumberFormat="1" applyFont="1" applyFill="1" applyBorder="1" applyProtection="1"/>
    <xf numFmtId="167" fontId="6" fillId="7" borderId="48" xfId="0" applyNumberFormat="1" applyFont="1" applyFill="1" applyBorder="1" applyAlignment="1" applyProtection="1">
      <alignment horizontal="right"/>
    </xf>
    <xf numFmtId="167" fontId="6" fillId="13" borderId="48" xfId="0" applyNumberFormat="1" applyFont="1" applyFill="1" applyBorder="1" applyAlignment="1" applyProtection="1">
      <alignment horizontal="right"/>
      <protection locked="0"/>
    </xf>
    <xf numFmtId="167" fontId="23" fillId="7" borderId="10" xfId="0" applyNumberFormat="1" applyFont="1" applyFill="1" applyBorder="1" applyProtection="1"/>
    <xf numFmtId="0" fontId="0" fillId="0" borderId="10" xfId="0" applyBorder="1" applyProtection="1"/>
    <xf numFmtId="49" fontId="0" fillId="0" borderId="14" xfId="0" applyNumberFormat="1" applyBorder="1" applyAlignment="1" applyProtection="1">
      <alignment horizontal="right"/>
    </xf>
    <xf numFmtId="49" fontId="0" fillId="2" borderId="8" xfId="0" applyNumberFormat="1" applyFill="1" applyBorder="1" applyAlignment="1" applyProtection="1">
      <alignment horizontal="center"/>
    </xf>
    <xf numFmtId="49" fontId="3" fillId="0" borderId="52" xfId="0" applyNumberFormat="1" applyFont="1" applyBorder="1" applyAlignment="1" applyProtection="1">
      <alignment horizontal="center"/>
    </xf>
    <xf numFmtId="49" fontId="3" fillId="0" borderId="38" xfId="0" applyNumberFormat="1" applyFont="1" applyBorder="1" applyAlignment="1" applyProtection="1">
      <alignment horizontal="center"/>
    </xf>
    <xf numFmtId="0" fontId="3" fillId="0" borderId="38" xfId="0" applyFont="1" applyBorder="1" applyAlignment="1" applyProtection="1">
      <alignment horizontal="center"/>
    </xf>
    <xf numFmtId="0" fontId="3" fillId="0" borderId="51" xfId="0" applyFont="1" applyBorder="1" applyAlignment="1" applyProtection="1">
      <alignment horizontal="center"/>
    </xf>
    <xf numFmtId="49" fontId="0" fillId="0" borderId="46" xfId="0" applyNumberFormat="1" applyBorder="1" applyAlignment="1" applyProtection="1">
      <alignment horizontal="left"/>
    </xf>
    <xf numFmtId="49" fontId="0" fillId="0" borderId="64" xfId="0" applyNumberFormat="1" applyBorder="1" applyProtection="1"/>
    <xf numFmtId="0" fontId="0" fillId="0" borderId="64" xfId="0" applyBorder="1" applyProtection="1"/>
    <xf numFmtId="49" fontId="4" fillId="0" borderId="58" xfId="0" applyNumberFormat="1" applyFont="1" applyBorder="1" applyProtection="1"/>
    <xf numFmtId="0" fontId="0" fillId="12" borderId="66" xfId="0" applyNumberFormat="1" applyFill="1" applyBorder="1" applyAlignment="1" applyProtection="1">
      <alignment horizontal="center"/>
    </xf>
    <xf numFmtId="0" fontId="0" fillId="2" borderId="66" xfId="0" applyFill="1" applyBorder="1" applyAlignment="1" applyProtection="1">
      <alignment horizontal="center"/>
    </xf>
    <xf numFmtId="0" fontId="3" fillId="0" borderId="0" xfId="0" applyFont="1" applyAlignment="1">
      <alignment vertical="center"/>
    </xf>
    <xf numFmtId="0" fontId="0" fillId="10" borderId="0" xfId="0" applyFill="1" applyAlignment="1" applyProtection="1">
      <alignment vertical="center"/>
      <protection locked="0"/>
    </xf>
    <xf numFmtId="0" fontId="0" fillId="7" borderId="0" xfId="0" applyFill="1" applyAlignment="1">
      <alignment vertical="center"/>
    </xf>
    <xf numFmtId="0" fontId="4" fillId="0" borderId="0" xfId="0" applyFont="1" applyAlignment="1">
      <alignment vertical="center"/>
    </xf>
    <xf numFmtId="0" fontId="0" fillId="9" borderId="0" xfId="0" applyFill="1" applyAlignment="1" applyProtection="1">
      <alignment vertical="center"/>
      <protection locked="0"/>
    </xf>
    <xf numFmtId="0" fontId="0" fillId="7" borderId="0" xfId="0" applyFill="1" applyAlignment="1" applyProtection="1">
      <alignment vertical="center"/>
    </xf>
    <xf numFmtId="0" fontId="21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8" fillId="0" borderId="0" xfId="0" applyFont="1" applyBorder="1" applyAlignment="1">
      <alignment vertical="center" wrapText="1"/>
    </xf>
    <xf numFmtId="49" fontId="8" fillId="0" borderId="52" xfId="0" applyNumberFormat="1" applyFont="1" applyBorder="1" applyAlignment="1" applyProtection="1">
      <alignment horizontal="center" vertical="center" wrapText="1"/>
    </xf>
    <xf numFmtId="0" fontId="8" fillId="0" borderId="38" xfId="0" applyFont="1" applyBorder="1" applyAlignment="1" applyProtection="1">
      <alignment horizontal="center" vertical="center"/>
    </xf>
    <xf numFmtId="0" fontId="23" fillId="0" borderId="0" xfId="0" applyFont="1" applyBorder="1" applyAlignment="1"/>
    <xf numFmtId="0" fontId="0" fillId="0" borderId="2" xfId="0" applyBorder="1" applyAlignment="1"/>
    <xf numFmtId="0" fontId="0" fillId="7" borderId="2" xfId="0" applyFill="1" applyBorder="1"/>
    <xf numFmtId="0" fontId="0" fillId="10" borderId="2" xfId="0" applyFill="1" applyBorder="1" applyProtection="1">
      <protection locked="0"/>
    </xf>
    <xf numFmtId="0" fontId="21" fillId="0" borderId="45" xfId="0" applyFont="1" applyBorder="1"/>
    <xf numFmtId="0" fontId="0" fillId="0" borderId="48" xfId="0" applyBorder="1" applyAlignment="1"/>
    <xf numFmtId="0" fontId="0" fillId="0" borderId="45" xfId="0" applyBorder="1"/>
    <xf numFmtId="0" fontId="4" fillId="0" borderId="45" xfId="0" applyFont="1" applyBorder="1"/>
    <xf numFmtId="0" fontId="0" fillId="0" borderId="55" xfId="0" applyBorder="1"/>
    <xf numFmtId="0" fontId="0" fillId="7" borderId="43" xfId="0" applyFill="1" applyBorder="1"/>
    <xf numFmtId="0" fontId="8" fillId="0" borderId="0" xfId="0" applyFont="1" applyBorder="1" applyAlignment="1" applyProtection="1"/>
    <xf numFmtId="49" fontId="8" fillId="0" borderId="52" xfId="0" applyNumberFormat="1" applyFont="1" applyBorder="1" applyAlignment="1" applyProtection="1">
      <alignment horizontal="center"/>
    </xf>
    <xf numFmtId="0" fontId="8" fillId="0" borderId="38" xfId="0" applyFont="1" applyBorder="1" applyAlignment="1" applyProtection="1"/>
    <xf numFmtId="0" fontId="8" fillId="0" borderId="55" xfId="0" applyFont="1" applyBorder="1" applyAlignment="1" applyProtection="1">
      <alignment horizontal="center" vertical="center" wrapText="1"/>
    </xf>
    <xf numFmtId="14" fontId="8" fillId="0" borderId="43" xfId="0" applyNumberFormat="1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horizontal="left"/>
      <protection locked="0"/>
    </xf>
    <xf numFmtId="0" fontId="9" fillId="0" borderId="0" xfId="0" applyFont="1" applyFill="1" applyBorder="1" applyProtection="1">
      <protection locked="0"/>
    </xf>
    <xf numFmtId="0" fontId="3" fillId="0" borderId="58" xfId="0" applyFont="1" applyBorder="1" applyAlignment="1" applyProtection="1">
      <alignment horizontal="left"/>
      <protection locked="0"/>
    </xf>
    <xf numFmtId="0" fontId="9" fillId="13" borderId="67" xfId="0" applyFont="1" applyFill="1" applyBorder="1" applyProtection="1">
      <protection locked="0"/>
    </xf>
    <xf numFmtId="0" fontId="3" fillId="14" borderId="43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right"/>
    </xf>
    <xf numFmtId="0" fontId="9" fillId="0" borderId="37" xfId="0" applyFont="1" applyFill="1" applyBorder="1" applyAlignment="1" applyProtection="1">
      <alignment horizontal="center"/>
    </xf>
    <xf numFmtId="167" fontId="8" fillId="11" borderId="57" xfId="0" applyNumberFormat="1" applyFont="1" applyFill="1" applyBorder="1" applyProtection="1"/>
    <xf numFmtId="0" fontId="0" fillId="13" borderId="2" xfId="0" applyFill="1" applyBorder="1" applyAlignment="1" applyProtection="1">
      <alignment horizontal="center" vertical="center"/>
      <protection locked="0"/>
    </xf>
    <xf numFmtId="0" fontId="0" fillId="7" borderId="52" xfId="0" applyFill="1" applyBorder="1" applyAlignment="1" applyProtection="1">
      <alignment horizontal="center" vertical="center"/>
    </xf>
    <xf numFmtId="0" fontId="0" fillId="7" borderId="38" xfId="0" applyFill="1" applyBorder="1" applyAlignment="1" applyProtection="1">
      <alignment horizontal="center" vertical="center"/>
    </xf>
    <xf numFmtId="0" fontId="0" fillId="7" borderId="45" xfId="0" applyFill="1" applyBorder="1" applyAlignment="1" applyProtection="1">
      <alignment horizontal="center" vertical="center"/>
    </xf>
    <xf numFmtId="0" fontId="0" fillId="7" borderId="2" xfId="0" applyFill="1" applyBorder="1" applyAlignment="1" applyProtection="1">
      <alignment horizontal="center" vertical="center"/>
    </xf>
    <xf numFmtId="0" fontId="0" fillId="7" borderId="48" xfId="0" applyFill="1" applyBorder="1" applyAlignment="1" applyProtection="1">
      <alignment horizontal="center" vertical="center"/>
    </xf>
    <xf numFmtId="1" fontId="0" fillId="7" borderId="48" xfId="0" applyNumberFormat="1" applyFill="1" applyBorder="1" applyAlignment="1" applyProtection="1">
      <alignment horizontal="center" vertical="center"/>
    </xf>
    <xf numFmtId="0" fontId="0" fillId="7" borderId="55" xfId="0" applyFill="1" applyBorder="1" applyAlignment="1" applyProtection="1">
      <alignment horizontal="center" vertical="center"/>
    </xf>
    <xf numFmtId="0" fontId="0" fillId="7" borderId="43" xfId="0" applyFill="1" applyBorder="1" applyAlignment="1" applyProtection="1">
      <alignment horizontal="center" vertical="center"/>
    </xf>
    <xf numFmtId="0" fontId="0" fillId="7" borderId="49" xfId="0" applyFill="1" applyBorder="1" applyAlignment="1" applyProtection="1">
      <alignment horizontal="center" vertical="center"/>
    </xf>
    <xf numFmtId="167" fontId="0" fillId="0" borderId="8" xfId="0" applyNumberFormat="1" applyBorder="1" applyAlignment="1">
      <alignment horizontal="center" vertical="center"/>
    </xf>
    <xf numFmtId="0" fontId="24" fillId="0" borderId="2" xfId="0" applyFont="1" applyBorder="1" applyAlignment="1" applyProtection="1">
      <alignment horizontal="center" vertical="center"/>
      <protection locked="0"/>
    </xf>
    <xf numFmtId="49" fontId="0" fillId="7" borderId="2" xfId="0" applyNumberFormat="1" applyFill="1" applyBorder="1" applyAlignment="1" applyProtection="1">
      <alignment horizontal="center"/>
    </xf>
    <xf numFmtId="0" fontId="0" fillId="10" borderId="27" xfId="0" applyFill="1" applyBorder="1"/>
    <xf numFmtId="0" fontId="4" fillId="10" borderId="0" xfId="0" applyFont="1" applyFill="1" applyBorder="1"/>
    <xf numFmtId="0" fontId="4" fillId="0" borderId="0" xfId="0" applyFont="1" applyAlignment="1" applyProtection="1">
      <alignment horizontal="center" vertical="center"/>
    </xf>
    <xf numFmtId="0" fontId="4" fillId="10" borderId="0" xfId="0" applyNumberFormat="1" applyFont="1" applyFill="1" applyBorder="1" applyProtection="1">
      <protection locked="0"/>
    </xf>
    <xf numFmtId="166" fontId="0" fillId="14" borderId="38" xfId="0" applyNumberFormat="1" applyFill="1" applyBorder="1" applyAlignment="1">
      <alignment vertical="center"/>
    </xf>
    <xf numFmtId="0" fontId="0" fillId="0" borderId="0" xfId="0" applyProtection="1">
      <protection locked="0"/>
    </xf>
    <xf numFmtId="0" fontId="0" fillId="7" borderId="0" xfId="0" applyFill="1" applyBorder="1" applyProtection="1">
      <protection locked="0"/>
    </xf>
    <xf numFmtId="0" fontId="4" fillId="0" borderId="0" xfId="0" applyFont="1" applyFill="1" applyBorder="1"/>
    <xf numFmtId="167" fontId="6" fillId="0" borderId="0" xfId="0" applyNumberFormat="1" applyFont="1" applyBorder="1" applyProtection="1"/>
    <xf numFmtId="167" fontId="6" fillId="7" borderId="48" xfId="0" applyNumberFormat="1" applyFont="1" applyFill="1" applyBorder="1" applyProtection="1"/>
    <xf numFmtId="167" fontId="6" fillId="7" borderId="49" xfId="0" applyNumberFormat="1" applyFont="1" applyFill="1" applyBorder="1" applyProtection="1"/>
    <xf numFmtId="1" fontId="0" fillId="7" borderId="51" xfId="0" applyNumberFormat="1" applyFill="1" applyBorder="1" applyAlignment="1" applyProtection="1">
      <alignment horizontal="center" vertical="center"/>
    </xf>
    <xf numFmtId="1" fontId="0" fillId="2" borderId="65" xfId="0" applyNumberFormat="1" applyFill="1" applyBorder="1" applyAlignment="1" applyProtection="1">
      <alignment horizontal="center"/>
    </xf>
    <xf numFmtId="1" fontId="0" fillId="2" borderId="63" xfId="0" applyNumberFormat="1" applyFill="1" applyBorder="1" applyAlignment="1" applyProtection="1">
      <alignment horizontal="center"/>
    </xf>
    <xf numFmtId="1" fontId="0" fillId="2" borderId="67" xfId="0" applyNumberFormat="1" applyFill="1" applyBorder="1" applyAlignment="1" applyProtection="1">
      <alignment horizontal="center"/>
    </xf>
    <xf numFmtId="0" fontId="0" fillId="13" borderId="25" xfId="0" applyFill="1" applyBorder="1" applyProtection="1">
      <protection locked="0"/>
    </xf>
    <xf numFmtId="49" fontId="4" fillId="10" borderId="0" xfId="0" applyNumberFormat="1" applyFont="1" applyFill="1" applyBorder="1" applyAlignment="1" applyProtection="1">
      <alignment horizontal="right"/>
      <protection locked="0"/>
    </xf>
    <xf numFmtId="1" fontId="4" fillId="13" borderId="2" xfId="0" applyNumberFormat="1" applyFont="1" applyFill="1" applyBorder="1" applyAlignment="1" applyProtection="1">
      <alignment horizontal="center" vertical="center"/>
      <protection locked="0"/>
    </xf>
    <xf numFmtId="49" fontId="4" fillId="7" borderId="0" xfId="0" applyNumberFormat="1" applyFont="1" applyFill="1" applyBorder="1" applyAlignment="1">
      <alignment horizontal="right"/>
    </xf>
    <xf numFmtId="0" fontId="3" fillId="15" borderId="10" xfId="0" applyFont="1" applyFill="1" applyBorder="1" applyProtection="1"/>
    <xf numFmtId="0" fontId="0" fillId="15" borderId="15" xfId="0" applyFill="1" applyBorder="1" applyAlignment="1" applyProtection="1">
      <alignment horizontal="center"/>
    </xf>
    <xf numFmtId="0" fontId="0" fillId="15" borderId="14" xfId="0" applyFill="1" applyBorder="1" applyProtection="1"/>
    <xf numFmtId="0" fontId="0" fillId="0" borderId="2" xfId="0" applyBorder="1" applyAlignment="1" applyProtection="1">
      <alignment horizontal="center"/>
    </xf>
    <xf numFmtId="0" fontId="0" fillId="0" borderId="48" xfId="0" applyBorder="1" applyAlignment="1" applyProtection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166" fontId="0" fillId="14" borderId="1" xfId="0" applyNumberFormat="1" applyFill="1" applyBorder="1" applyAlignment="1">
      <alignment vertical="center"/>
    </xf>
    <xf numFmtId="166" fontId="4" fillId="10" borderId="1" xfId="0" applyNumberFormat="1" applyFont="1" applyFill="1" applyBorder="1" applyAlignment="1" applyProtection="1">
      <alignment vertical="center"/>
      <protection locked="0"/>
    </xf>
    <xf numFmtId="166" fontId="4" fillId="7" borderId="1" xfId="0" applyNumberFormat="1" applyFont="1" applyFill="1" applyBorder="1" applyAlignment="1">
      <alignment vertical="center"/>
    </xf>
    <xf numFmtId="0" fontId="0" fillId="8" borderId="0" xfId="0" applyFill="1" applyAlignment="1">
      <alignment vertical="center"/>
    </xf>
    <xf numFmtId="9" fontId="0" fillId="8" borderId="0" xfId="0" applyNumberFormat="1" applyFill="1" applyAlignment="1" applyProtection="1">
      <alignment vertical="center"/>
      <protection locked="0"/>
    </xf>
    <xf numFmtId="2" fontId="4" fillId="0" borderId="2" xfId="0" applyNumberFormat="1" applyFont="1" applyBorder="1" applyAlignment="1">
      <alignment horizontal="center" vertical="center" wrapText="1"/>
    </xf>
    <xf numFmtId="167" fontId="7" fillId="7" borderId="11" xfId="0" applyNumberFormat="1" applyFont="1" applyFill="1" applyBorder="1" applyProtection="1"/>
    <xf numFmtId="168" fontId="0" fillId="7" borderId="8" xfId="0" applyNumberFormat="1" applyFill="1" applyBorder="1" applyAlignment="1" applyProtection="1">
      <alignment vertical="center"/>
    </xf>
    <xf numFmtId="0" fontId="8" fillId="0" borderId="3" xfId="0" applyFont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center"/>
      <protection locked="0"/>
    </xf>
    <xf numFmtId="0" fontId="8" fillId="0" borderId="59" xfId="0" applyFont="1" applyBorder="1" applyAlignment="1" applyProtection="1">
      <alignment horizontal="left"/>
    </xf>
    <xf numFmtId="0" fontId="8" fillId="10" borderId="61" xfId="0" applyFont="1" applyFill="1" applyBorder="1" applyAlignment="1" applyProtection="1">
      <alignment horizontal="center"/>
      <protection locked="0"/>
    </xf>
    <xf numFmtId="0" fontId="8" fillId="0" borderId="61" xfId="0" applyFont="1" applyBorder="1" applyAlignment="1" applyProtection="1">
      <alignment horizontal="center"/>
    </xf>
    <xf numFmtId="0" fontId="8" fillId="0" borderId="61" xfId="0" applyNumberFormat="1" applyFont="1" applyBorder="1" applyAlignment="1" applyProtection="1">
      <alignment horizontal="center"/>
      <protection locked="0"/>
    </xf>
    <xf numFmtId="0" fontId="8" fillId="0" borderId="59" xfId="0" applyFont="1" applyBorder="1" applyAlignment="1" applyProtection="1">
      <alignment horizontal="left" wrapText="1"/>
    </xf>
    <xf numFmtId="14" fontId="8" fillId="0" borderId="61" xfId="0" applyNumberFormat="1" applyFont="1" applyBorder="1" applyAlignment="1" applyProtection="1">
      <alignment horizontal="center"/>
    </xf>
    <xf numFmtId="0" fontId="8" fillId="0" borderId="19" xfId="0" applyFont="1" applyBorder="1" applyAlignment="1" applyProtection="1">
      <alignment horizontal="center"/>
      <protection locked="0"/>
    </xf>
    <xf numFmtId="0" fontId="8" fillId="0" borderId="61" xfId="0" applyFont="1" applyBorder="1" applyAlignment="1" applyProtection="1">
      <alignment horizontal="center"/>
      <protection locked="0"/>
    </xf>
    <xf numFmtId="0" fontId="8" fillId="0" borderId="19" xfId="0" applyFont="1" applyBorder="1" applyAlignment="1" applyProtection="1">
      <alignment horizontal="center"/>
    </xf>
    <xf numFmtId="0" fontId="8" fillId="0" borderId="59" xfId="0" applyFont="1" applyFill="1" applyBorder="1" applyAlignment="1" applyProtection="1">
      <alignment horizontal="left"/>
    </xf>
    <xf numFmtId="0" fontId="8" fillId="10" borderId="19" xfId="0" applyFont="1" applyFill="1" applyBorder="1" applyAlignment="1" applyProtection="1">
      <alignment horizontal="center"/>
      <protection locked="0"/>
    </xf>
    <xf numFmtId="0" fontId="8" fillId="0" borderId="18" xfId="0" applyNumberFormat="1" applyFont="1" applyBorder="1" applyAlignment="1" applyProtection="1">
      <alignment horizontal="left"/>
      <protection locked="0"/>
    </xf>
    <xf numFmtId="0" fontId="8" fillId="0" borderId="19" xfId="0" applyNumberFormat="1" applyFont="1" applyBorder="1" applyAlignment="1" applyProtection="1">
      <alignment horizontal="center"/>
      <protection locked="0"/>
    </xf>
    <xf numFmtId="0" fontId="8" fillId="0" borderId="57" xfId="0" applyFont="1" applyBorder="1" applyAlignment="1" applyProtection="1">
      <alignment horizontal="center"/>
      <protection locked="0"/>
    </xf>
    <xf numFmtId="0" fontId="33" fillId="0" borderId="24" xfId="0" applyFont="1" applyBorder="1"/>
    <xf numFmtId="0" fontId="33" fillId="7" borderId="0" xfId="0" applyFont="1" applyFill="1" applyBorder="1"/>
    <xf numFmtId="0" fontId="4" fillId="0" borderId="45" xfId="0" applyFont="1" applyBorder="1" applyAlignment="1">
      <alignment wrapText="1"/>
    </xf>
    <xf numFmtId="0" fontId="4" fillId="0" borderId="46" xfId="0" applyFont="1" applyBorder="1" applyAlignment="1">
      <alignment vertical="center" wrapText="1"/>
    </xf>
    <xf numFmtId="0" fontId="0" fillId="2" borderId="11" xfId="0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166" fontId="0" fillId="0" borderId="11" xfId="0" applyNumberFormat="1" applyBorder="1" applyAlignment="1">
      <alignment vertical="center"/>
    </xf>
    <xf numFmtId="166" fontId="0" fillId="2" borderId="11" xfId="0" applyNumberFormat="1" applyFill="1" applyBorder="1" applyAlignment="1">
      <alignment vertical="center"/>
    </xf>
    <xf numFmtId="0" fontId="0" fillId="0" borderId="12" xfId="0" applyBorder="1" applyAlignment="1">
      <alignment vertical="center"/>
    </xf>
    <xf numFmtId="0" fontId="0" fillId="7" borderId="6" xfId="0" applyFill="1" applyBorder="1" applyAlignment="1" applyProtection="1">
      <alignment horizontal="center" vertical="center"/>
    </xf>
    <xf numFmtId="0" fontId="0" fillId="7" borderId="3" xfId="0" applyFill="1" applyBorder="1" applyAlignment="1" applyProtection="1">
      <alignment horizontal="center" vertical="center"/>
    </xf>
    <xf numFmtId="0" fontId="0" fillId="7" borderId="5" xfId="0" applyFill="1" applyBorder="1" applyAlignment="1" applyProtection="1">
      <alignment horizontal="center" vertical="center"/>
    </xf>
    <xf numFmtId="1" fontId="4" fillId="7" borderId="2" xfId="0" applyNumberFormat="1" applyFont="1" applyFill="1" applyBorder="1" applyAlignment="1">
      <alignment horizontal="center" vertical="center"/>
    </xf>
    <xf numFmtId="0" fontId="0" fillId="7" borderId="2" xfId="0" applyFill="1" applyBorder="1" applyAlignment="1" applyProtection="1">
      <alignment horizontal="center" vertical="center"/>
      <protection locked="0"/>
    </xf>
    <xf numFmtId="0" fontId="28" fillId="0" borderId="0" xfId="0" applyFont="1" applyProtection="1"/>
    <xf numFmtId="0" fontId="8" fillId="0" borderId="0" xfId="0" applyFont="1" applyAlignment="1" applyProtection="1">
      <alignment horizontal="center"/>
    </xf>
    <xf numFmtId="0" fontId="0" fillId="0" borderId="25" xfId="0" applyFill="1" applyBorder="1" applyProtection="1">
      <protection locked="0"/>
    </xf>
    <xf numFmtId="0" fontId="0" fillId="7" borderId="27" xfId="0" applyFill="1" applyBorder="1" applyProtection="1"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7" fontId="0" fillId="0" borderId="2" xfId="0" applyNumberFormat="1" applyBorder="1" applyAlignment="1">
      <alignment vertical="center"/>
    </xf>
    <xf numFmtId="0" fontId="4" fillId="0" borderId="52" xfId="0" applyFont="1" applyBorder="1" applyAlignment="1" applyProtection="1">
      <alignment wrapText="1"/>
    </xf>
    <xf numFmtId="0" fontId="0" fillId="0" borderId="9" xfId="0" applyBorder="1" applyAlignment="1">
      <alignment horizontal="center" vertical="center"/>
    </xf>
    <xf numFmtId="0" fontId="0" fillId="0" borderId="48" xfId="0" applyBorder="1" applyAlignment="1" applyProtection="1">
      <alignment horizontal="center"/>
    </xf>
    <xf numFmtId="0" fontId="4" fillId="0" borderId="1" xfId="0" applyFont="1" applyBorder="1" applyAlignment="1">
      <alignment vertical="center" wrapText="1"/>
    </xf>
    <xf numFmtId="0" fontId="0" fillId="10" borderId="2" xfId="0" applyFill="1" applyBorder="1" applyAlignment="1" applyProtection="1">
      <alignment vertical="center"/>
      <protection locked="0"/>
    </xf>
    <xf numFmtId="0" fontId="4" fillId="10" borderId="2" xfId="0" applyFont="1" applyFill="1" applyBorder="1" applyAlignment="1" applyProtection="1">
      <alignment vertical="center"/>
      <protection locked="0"/>
    </xf>
    <xf numFmtId="0" fontId="0" fillId="7" borderId="7" xfId="0" applyFill="1" applyBorder="1" applyAlignment="1">
      <alignment vertical="center"/>
    </xf>
    <xf numFmtId="166" fontId="0" fillId="0" borderId="7" xfId="0" applyNumberFormat="1" applyBorder="1" applyAlignment="1">
      <alignment vertical="center"/>
    </xf>
    <xf numFmtId="166" fontId="0" fillId="2" borderId="9" xfId="0" applyNumberFormat="1" applyFill="1" applyBorder="1" applyAlignment="1">
      <alignment vertical="center"/>
    </xf>
    <xf numFmtId="176" fontId="0" fillId="0" borderId="0" xfId="0" applyNumberFormat="1" applyBorder="1"/>
    <xf numFmtId="167" fontId="8" fillId="11" borderId="0" xfId="0" applyNumberFormat="1" applyFont="1" applyFill="1" applyBorder="1" applyProtection="1"/>
    <xf numFmtId="49" fontId="4" fillId="7" borderId="2" xfId="0" applyNumberFormat="1" applyFont="1" applyFill="1" applyBorder="1" applyAlignment="1">
      <alignment horizontal="right"/>
    </xf>
    <xf numFmtId="49" fontId="4" fillId="7" borderId="2" xfId="0" applyNumberFormat="1" applyFont="1" applyFill="1" applyBorder="1" applyAlignment="1" applyProtection="1">
      <alignment horizontal="center"/>
    </xf>
    <xf numFmtId="0" fontId="0" fillId="10" borderId="2" xfId="0" applyFill="1" applyBorder="1" applyAlignment="1" applyProtection="1">
      <alignment horizontal="center" vertical="center"/>
    </xf>
    <xf numFmtId="0" fontId="0" fillId="10" borderId="2" xfId="0" applyFill="1" applyBorder="1" applyAlignment="1">
      <alignment horizontal="center" vertical="center"/>
    </xf>
    <xf numFmtId="0" fontId="0" fillId="0" borderId="48" xfId="0" applyBorder="1" applyAlignment="1" applyProtection="1">
      <alignment horizontal="center"/>
    </xf>
    <xf numFmtId="0" fontId="0" fillId="9" borderId="0" xfId="0" applyFill="1" applyBorder="1" applyProtection="1">
      <protection locked="0"/>
    </xf>
    <xf numFmtId="0" fontId="4" fillId="7" borderId="0" xfId="0" applyNumberFormat="1" applyFont="1" applyFill="1" applyBorder="1" applyAlignment="1">
      <alignment horizontal="right"/>
    </xf>
    <xf numFmtId="0" fontId="0" fillId="0" borderId="48" xfId="0" applyBorder="1" applyAlignment="1" applyProtection="1">
      <alignment horizontal="center"/>
    </xf>
    <xf numFmtId="169" fontId="3" fillId="2" borderId="8" xfId="1" applyNumberFormat="1" applyFont="1" applyFill="1" applyBorder="1" applyProtection="1"/>
    <xf numFmtId="167" fontId="3" fillId="7" borderId="8" xfId="0" applyNumberFormat="1" applyFont="1" applyFill="1" applyBorder="1" applyProtection="1"/>
    <xf numFmtId="169" fontId="3" fillId="9" borderId="2" xfId="1" applyNumberFormat="1" applyFont="1" applyFill="1" applyBorder="1" applyProtection="1">
      <protection locked="0"/>
    </xf>
    <xf numFmtId="167" fontId="3" fillId="9" borderId="8" xfId="0" applyNumberFormat="1" applyFont="1" applyFill="1" applyBorder="1" applyProtection="1">
      <protection locked="0"/>
    </xf>
    <xf numFmtId="0" fontId="0" fillId="0" borderId="9" xfId="0" applyBorder="1" applyAlignment="1">
      <alignment horizontal="center" vertical="center"/>
    </xf>
    <xf numFmtId="0" fontId="3" fillId="10" borderId="42" xfId="0" applyFont="1" applyFill="1" applyBorder="1" applyAlignment="1" applyProtection="1">
      <alignment horizontal="center"/>
      <protection locked="0"/>
    </xf>
    <xf numFmtId="49" fontId="9" fillId="11" borderId="0" xfId="0" applyNumberFormat="1" applyFont="1" applyFill="1" applyBorder="1" applyProtection="1"/>
    <xf numFmtId="49" fontId="0" fillId="0" borderId="0" xfId="0" applyNumberFormat="1" applyAlignment="1" applyProtection="1"/>
    <xf numFmtId="0" fontId="0" fillId="0" borderId="22" xfId="0" applyBorder="1" applyAlignment="1" applyProtection="1">
      <alignment horizontal="center" vertical="center"/>
    </xf>
    <xf numFmtId="0" fontId="0" fillId="0" borderId="27" xfId="0" applyBorder="1" applyAlignment="1" applyProtection="1">
      <alignment horizontal="center" vertical="center"/>
    </xf>
    <xf numFmtId="0" fontId="0" fillId="0" borderId="69" xfId="0" applyBorder="1" applyAlignment="1" applyProtection="1">
      <alignment horizontal="center" vertical="center"/>
    </xf>
    <xf numFmtId="0" fontId="0" fillId="13" borderId="44" xfId="0" applyFill="1" applyBorder="1" applyProtection="1">
      <protection locked="0"/>
    </xf>
    <xf numFmtId="0" fontId="4" fillId="0" borderId="32" xfId="0" applyFont="1" applyBorder="1" applyAlignment="1">
      <alignment vertical="center" wrapText="1"/>
    </xf>
    <xf numFmtId="0" fontId="0" fillId="13" borderId="62" xfId="0" applyFill="1" applyBorder="1" applyProtection="1">
      <protection locked="0"/>
    </xf>
    <xf numFmtId="0" fontId="4" fillId="0" borderId="27" xfId="0" applyFont="1" applyBorder="1" applyProtection="1"/>
    <xf numFmtId="166" fontId="0" fillId="0" borderId="27" xfId="0" applyNumberFormat="1" applyBorder="1" applyProtection="1"/>
    <xf numFmtId="171" fontId="3" fillId="7" borderId="27" xfId="2" applyNumberFormat="1" applyFont="1" applyFill="1" applyBorder="1" applyProtection="1"/>
    <xf numFmtId="0" fontId="0" fillId="0" borderId="27" xfId="0" applyFont="1" applyFill="1" applyBorder="1" applyProtection="1"/>
    <xf numFmtId="0" fontId="0" fillId="0" borderId="27" xfId="0" applyBorder="1" applyAlignment="1" applyProtection="1">
      <alignment horizontal="center"/>
    </xf>
    <xf numFmtId="0" fontId="0" fillId="7" borderId="27" xfId="0" applyFill="1" applyBorder="1" applyAlignment="1" applyProtection="1">
      <alignment horizontal="center"/>
    </xf>
    <xf numFmtId="0" fontId="0" fillId="0" borderId="28" xfId="0" applyBorder="1" applyAlignment="1" applyProtection="1">
      <alignment horizontal="center"/>
    </xf>
    <xf numFmtId="0" fontId="0" fillId="0" borderId="51" xfId="0" applyFill="1" applyBorder="1" applyAlignment="1" applyProtection="1">
      <alignment vertical="center"/>
    </xf>
    <xf numFmtId="0" fontId="0" fillId="0" borderId="43" xfId="0" applyFont="1" applyFill="1" applyBorder="1" applyProtection="1"/>
    <xf numFmtId="0" fontId="0" fillId="0" borderId="51" xfId="0" applyBorder="1" applyAlignment="1" applyProtection="1">
      <alignment horizontal="center" vertical="center" wrapText="1"/>
    </xf>
    <xf numFmtId="167" fontId="8" fillId="11" borderId="29" xfId="0" applyNumberFormat="1" applyFont="1" applyFill="1" applyBorder="1" applyProtection="1"/>
    <xf numFmtId="0" fontId="4" fillId="0" borderId="52" xfId="0" applyFont="1" applyBorder="1" applyAlignment="1" applyProtection="1">
      <alignment horizontal="center" vertical="center" wrapText="1"/>
    </xf>
    <xf numFmtId="0" fontId="4" fillId="0" borderId="38" xfId="0" applyFont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</xf>
    <xf numFmtId="0" fontId="4" fillId="0" borderId="56" xfId="0" applyFont="1" applyBorder="1" applyAlignment="1" applyProtection="1">
      <alignment horizontal="center" vertical="center" wrapText="1"/>
    </xf>
    <xf numFmtId="0" fontId="4" fillId="0" borderId="17" xfId="0" applyFont="1" applyBorder="1" applyAlignment="1" applyProtection="1">
      <alignment horizontal="center" vertical="center" wrapText="1"/>
    </xf>
    <xf numFmtId="1" fontId="0" fillId="0" borderId="22" xfId="0" applyNumberFormat="1" applyBorder="1" applyAlignment="1" applyProtection="1">
      <alignment horizontal="center" vertical="center"/>
    </xf>
    <xf numFmtId="1" fontId="0" fillId="0" borderId="27" xfId="0" applyNumberFormat="1" applyBorder="1" applyAlignment="1" applyProtection="1">
      <alignment horizontal="center" vertical="center"/>
    </xf>
    <xf numFmtId="0" fontId="4" fillId="0" borderId="5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0" fillId="0" borderId="41" xfId="0" applyBorder="1" applyAlignment="1" applyProtection="1">
      <alignment horizontal="center" vertical="center"/>
    </xf>
    <xf numFmtId="0" fontId="0" fillId="7" borderId="57" xfId="0" applyFill="1" applyBorder="1" applyAlignment="1" applyProtection="1">
      <alignment horizontal="center" vertical="center"/>
    </xf>
    <xf numFmtId="0" fontId="0" fillId="7" borderId="30" xfId="0" applyFill="1" applyBorder="1" applyAlignment="1" applyProtection="1">
      <alignment horizontal="center" vertical="center"/>
    </xf>
    <xf numFmtId="0" fontId="0" fillId="7" borderId="19" xfId="0" applyFill="1" applyBorder="1" applyAlignment="1" applyProtection="1">
      <alignment horizontal="center" vertical="center"/>
    </xf>
    <xf numFmtId="0" fontId="9" fillId="11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0" fillId="0" borderId="57" xfId="0" applyBorder="1" applyAlignment="1" applyProtection="1">
      <alignment horizontal="center" vertical="center"/>
    </xf>
    <xf numFmtId="0" fontId="0" fillId="7" borderId="31" xfId="0" applyFill="1" applyBorder="1" applyAlignment="1" applyProtection="1">
      <alignment horizontal="center" vertical="center"/>
    </xf>
    <xf numFmtId="49" fontId="8" fillId="7" borderId="57" xfId="0" applyNumberFormat="1" applyFont="1" applyFill="1" applyBorder="1" applyAlignment="1" applyProtection="1">
      <alignment horizontal="center" vertical="center"/>
    </xf>
    <xf numFmtId="49" fontId="4" fillId="7" borderId="38" xfId="0" applyNumberFormat="1" applyFont="1" applyFill="1" applyBorder="1" applyAlignment="1" applyProtection="1">
      <alignment horizontal="center" vertical="center"/>
    </xf>
    <xf numFmtId="0" fontId="0" fillId="11" borderId="7" xfId="0" applyFill="1" applyBorder="1" applyAlignment="1">
      <alignment vertical="center"/>
    </xf>
    <xf numFmtId="166" fontId="0" fillId="11" borderId="7" xfId="0" applyNumberFormat="1" applyFill="1" applyBorder="1" applyAlignment="1">
      <alignment vertical="center"/>
    </xf>
    <xf numFmtId="166" fontId="0" fillId="11" borderId="9" xfId="0" applyNumberFormat="1" applyFill="1" applyBorder="1" applyAlignment="1">
      <alignment vertical="center"/>
    </xf>
    <xf numFmtId="0" fontId="0" fillId="0" borderId="0" xfId="0" applyAlignment="1" applyProtection="1">
      <alignment horizontal="center" vertical="center" wrapText="1"/>
    </xf>
    <xf numFmtId="0" fontId="0" fillId="10" borderId="2" xfId="0" applyFill="1" applyBorder="1" applyAlignment="1" applyProtection="1">
      <alignment vertical="center"/>
    </xf>
    <xf numFmtId="0" fontId="0" fillId="7" borderId="2" xfId="0" applyFill="1" applyBorder="1" applyAlignment="1" applyProtection="1">
      <alignment vertical="center"/>
    </xf>
    <xf numFmtId="1" fontId="0" fillId="2" borderId="11" xfId="0" applyNumberFormat="1" applyFill="1" applyBorder="1" applyAlignment="1" applyProtection="1">
      <alignment horizontal="center"/>
    </xf>
    <xf numFmtId="0" fontId="0" fillId="0" borderId="48" xfId="0" applyBorder="1" applyAlignment="1" applyProtection="1">
      <alignment horizontal="center"/>
    </xf>
    <xf numFmtId="167" fontId="8" fillId="11" borderId="22" xfId="0" applyNumberFormat="1" applyFont="1" applyFill="1" applyBorder="1" applyProtection="1"/>
    <xf numFmtId="1" fontId="0" fillId="0" borderId="0" xfId="0" applyNumberForma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/>
    </xf>
    <xf numFmtId="0" fontId="0" fillId="0" borderId="48" xfId="0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/>
    </xf>
    <xf numFmtId="0" fontId="4" fillId="14" borderId="45" xfId="0" applyFont="1" applyFill="1" applyBorder="1" applyAlignment="1" applyProtection="1">
      <alignment horizontal="center"/>
      <protection locked="0"/>
    </xf>
    <xf numFmtId="0" fontId="0" fillId="0" borderId="45" xfId="0" applyFill="1" applyBorder="1" applyAlignment="1" applyProtection="1">
      <alignment horizontal="center"/>
      <protection locked="0"/>
    </xf>
    <xf numFmtId="0" fontId="10" fillId="14" borderId="0" xfId="0" applyFont="1" applyFill="1" applyAlignment="1">
      <alignment vertical="center"/>
    </xf>
    <xf numFmtId="0" fontId="4" fillId="0" borderId="0" xfId="0" applyNumberFormat="1" applyFont="1" applyBorder="1"/>
    <xf numFmtId="0" fontId="4" fillId="10" borderId="0" xfId="0" applyNumberFormat="1" applyFont="1" applyFill="1" applyBorder="1" applyAlignment="1" applyProtection="1">
      <alignment horizontal="right"/>
      <protection locked="0"/>
    </xf>
    <xf numFmtId="0" fontId="0" fillId="7" borderId="0" xfId="0" applyNumberFormat="1" applyFill="1" applyBorder="1" applyProtection="1"/>
    <xf numFmtId="0" fontId="0" fillId="10" borderId="0" xfId="0" applyNumberFormat="1" applyFill="1" applyBorder="1" applyProtection="1">
      <protection locked="0"/>
    </xf>
    <xf numFmtId="1" fontId="8" fillId="7" borderId="57" xfId="0" applyNumberFormat="1" applyFont="1" applyFill="1" applyBorder="1" applyAlignment="1" applyProtection="1">
      <alignment horizontal="center" vertical="center"/>
    </xf>
    <xf numFmtId="0" fontId="4" fillId="10" borderId="0" xfId="0" applyFont="1" applyFill="1" applyAlignment="1" applyProtection="1">
      <alignment horizontal="center" vertical="center"/>
    </xf>
    <xf numFmtId="0" fontId="0" fillId="10" borderId="0" xfId="0" applyFill="1" applyAlignment="1" applyProtection="1">
      <alignment horizontal="center" vertical="center"/>
    </xf>
    <xf numFmtId="3" fontId="14" fillId="2" borderId="9" xfId="0" applyNumberFormat="1" applyFont="1" applyFill="1" applyBorder="1" applyAlignment="1">
      <alignment vertical="center"/>
    </xf>
    <xf numFmtId="0" fontId="0" fillId="7" borderId="0" xfId="0" applyFill="1" applyBorder="1" applyAlignment="1">
      <alignment horizontal="right" vertical="center"/>
    </xf>
    <xf numFmtId="0" fontId="0" fillId="10" borderId="0" xfId="0" applyFill="1" applyBorder="1" applyAlignment="1" applyProtection="1">
      <alignment horizontal="right" vertical="center"/>
      <protection locked="0"/>
    </xf>
    <xf numFmtId="0" fontId="0" fillId="0" borderId="0" xfId="0" applyBorder="1" applyAlignment="1">
      <alignment horizontal="right" vertical="center"/>
    </xf>
    <xf numFmtId="0" fontId="0" fillId="7" borderId="25" xfId="0" applyFill="1" applyBorder="1" applyAlignment="1">
      <alignment horizontal="right" vertical="center"/>
    </xf>
    <xf numFmtId="0" fontId="0" fillId="0" borderId="24" xfId="0" applyBorder="1" applyAlignment="1">
      <alignment horizontal="left" vertical="center" wrapText="1"/>
    </xf>
    <xf numFmtId="49" fontId="0" fillId="7" borderId="2" xfId="0" applyNumberFormat="1" applyFill="1" applyBorder="1" applyAlignment="1">
      <alignment horizontal="right"/>
    </xf>
    <xf numFmtId="0" fontId="4" fillId="7" borderId="0" xfId="0" applyNumberFormat="1" applyFont="1" applyFill="1" applyBorder="1" applyAlignment="1" applyProtection="1">
      <alignment horizontal="right"/>
      <protection locked="0"/>
    </xf>
    <xf numFmtId="0" fontId="0" fillId="7" borderId="2" xfId="0" applyFill="1" applyBorder="1" applyAlignment="1">
      <alignment horizontal="right" vertical="center"/>
    </xf>
    <xf numFmtId="0" fontId="0" fillId="10" borderId="2" xfId="0" applyFill="1" applyBorder="1" applyAlignment="1" applyProtection="1">
      <alignment horizontal="right" vertical="center"/>
      <protection locked="0"/>
    </xf>
    <xf numFmtId="0" fontId="4" fillId="0" borderId="55" xfId="0" applyFont="1" applyBorder="1" applyAlignment="1" applyProtection="1">
      <alignment horizontal="center" vertical="center"/>
    </xf>
    <xf numFmtId="49" fontId="4" fillId="7" borderId="2" xfId="0" applyNumberFormat="1" applyFont="1" applyFill="1" applyBorder="1" applyAlignment="1" applyProtection="1">
      <alignment horizontal="center" vertical="center"/>
    </xf>
    <xf numFmtId="0" fontId="0" fillId="14" borderId="0" xfId="0" applyNumberFormat="1" applyFill="1" applyBorder="1" applyProtection="1"/>
    <xf numFmtId="0" fontId="0" fillId="0" borderId="48" xfId="0" applyBorder="1" applyAlignment="1" applyProtection="1">
      <alignment horizontal="center"/>
    </xf>
    <xf numFmtId="167" fontId="6" fillId="14" borderId="48" xfId="0" applyNumberFormat="1" applyFont="1" applyFill="1" applyBorder="1" applyProtection="1"/>
    <xf numFmtId="164" fontId="4" fillId="0" borderId="2" xfId="0" applyNumberFormat="1" applyFont="1" applyBorder="1" applyAlignment="1">
      <alignment horizontal="left"/>
    </xf>
    <xf numFmtId="171" fontId="0" fillId="0" borderId="2" xfId="0" applyNumberFormat="1" applyBorder="1"/>
    <xf numFmtId="166" fontId="0" fillId="2" borderId="10" xfId="0" applyNumberFormat="1" applyFill="1" applyBorder="1"/>
    <xf numFmtId="0" fontId="0" fillId="0" borderId="0" xfId="0" applyAlignment="1">
      <alignment horizontal="center"/>
    </xf>
    <xf numFmtId="0" fontId="4" fillId="0" borderId="5" xfId="0" applyFont="1" applyFill="1" applyBorder="1" applyAlignment="1">
      <alignment vertical="center"/>
    </xf>
    <xf numFmtId="0" fontId="28" fillId="0" borderId="0" xfId="0" applyFont="1" applyAlignment="1" applyProtection="1">
      <alignment horizontal="left" vertical="center" wrapText="1"/>
    </xf>
    <xf numFmtId="2" fontId="30" fillId="3" borderId="0" xfId="0" applyNumberFormat="1" applyFont="1" applyFill="1" applyAlignment="1" applyProtection="1">
      <alignment horizontal="left" vertical="center"/>
    </xf>
    <xf numFmtId="0" fontId="28" fillId="0" borderId="7" xfId="0" applyFont="1" applyBorder="1" applyAlignment="1" applyProtection="1">
      <alignment horizontal="center" vertical="center" wrapText="1"/>
    </xf>
    <xf numFmtId="0" fontId="28" fillId="0" borderId="9" xfId="0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left"/>
    </xf>
    <xf numFmtId="0" fontId="7" fillId="0" borderId="2" xfId="0" applyFont="1" applyBorder="1" applyAlignment="1" applyProtection="1">
      <alignment horizontal="left"/>
    </xf>
    <xf numFmtId="0" fontId="8" fillId="0" borderId="37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8" fillId="10" borderId="42" xfId="0" applyFont="1" applyFill="1" applyBorder="1" applyAlignment="1" applyProtection="1">
      <alignment horizontal="center" vertical="center" wrapText="1"/>
      <protection locked="0"/>
    </xf>
    <xf numFmtId="0" fontId="8" fillId="10" borderId="44" xfId="0" applyFont="1" applyFill="1" applyBorder="1" applyAlignment="1" applyProtection="1">
      <alignment horizontal="center" vertical="center" wrapText="1"/>
      <protection locked="0"/>
    </xf>
    <xf numFmtId="49" fontId="8" fillId="0" borderId="33" xfId="0" applyNumberFormat="1" applyFont="1" applyBorder="1" applyAlignment="1" applyProtection="1">
      <alignment horizontal="center"/>
    </xf>
    <xf numFmtId="49" fontId="8" fillId="0" borderId="36" xfId="0" applyNumberFormat="1" applyFont="1" applyBorder="1" applyAlignment="1" applyProtection="1">
      <alignment horizontal="center"/>
    </xf>
    <xf numFmtId="49" fontId="8" fillId="0" borderId="34" xfId="0" applyNumberFormat="1" applyFont="1" applyBorder="1" applyAlignment="1" applyProtection="1">
      <alignment horizontal="center"/>
    </xf>
    <xf numFmtId="0" fontId="8" fillId="10" borderId="39" xfId="0" applyFont="1" applyFill="1" applyBorder="1" applyAlignment="1" applyProtection="1">
      <alignment horizontal="center" vertical="center" wrapText="1"/>
      <protection locked="0"/>
    </xf>
    <xf numFmtId="0" fontId="8" fillId="10" borderId="40" xfId="0" applyFont="1" applyFill="1" applyBorder="1" applyAlignment="1" applyProtection="1">
      <alignment horizontal="center" vertical="center" wrapText="1"/>
      <protection locked="0"/>
    </xf>
    <xf numFmtId="0" fontId="8" fillId="10" borderId="41" xfId="0" applyFont="1" applyFill="1" applyBorder="1" applyAlignment="1" applyProtection="1">
      <alignment horizontal="center" vertical="center" wrapText="1"/>
      <protection locked="0"/>
    </xf>
    <xf numFmtId="0" fontId="0" fillId="0" borderId="45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2" fontId="8" fillId="3" borderId="0" xfId="0" applyNumberFormat="1" applyFont="1" applyFill="1" applyAlignment="1">
      <alignment horizontal="left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8" fillId="0" borderId="43" xfId="0" applyFont="1" applyBorder="1" applyAlignment="1" applyProtection="1">
      <alignment horizontal="center" vertical="center" wrapText="1"/>
    </xf>
    <xf numFmtId="0" fontId="8" fillId="0" borderId="38" xfId="0" applyFont="1" applyBorder="1" applyAlignment="1" applyProtection="1">
      <alignment horizontal="center" vertical="center"/>
    </xf>
    <xf numFmtId="14" fontId="8" fillId="0" borderId="2" xfId="0" applyNumberFormat="1" applyFont="1" applyBorder="1" applyAlignment="1" applyProtection="1">
      <alignment horizontal="center" vertical="center" wrapText="1"/>
    </xf>
    <xf numFmtId="14" fontId="8" fillId="0" borderId="43" xfId="0" applyNumberFormat="1" applyFont="1" applyBorder="1" applyAlignment="1" applyProtection="1">
      <alignment horizontal="center" vertical="center" wrapText="1"/>
    </xf>
    <xf numFmtId="0" fontId="8" fillId="0" borderId="51" xfId="0" applyFont="1" applyBorder="1" applyAlignment="1" applyProtection="1">
      <alignment horizontal="center" vertical="center"/>
    </xf>
    <xf numFmtId="0" fontId="8" fillId="0" borderId="48" xfId="0" applyFont="1" applyBorder="1" applyAlignment="1" applyProtection="1">
      <alignment horizontal="center" vertical="center" wrapText="1"/>
    </xf>
    <xf numFmtId="0" fontId="8" fillId="0" borderId="49" xfId="0" applyFont="1" applyBorder="1" applyAlignment="1" applyProtection="1">
      <alignment horizontal="center" vertical="center" wrapText="1"/>
    </xf>
    <xf numFmtId="0" fontId="3" fillId="0" borderId="4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48" xfId="0" applyFont="1" applyBorder="1" applyAlignment="1">
      <alignment horizontal="left" vertical="center"/>
    </xf>
    <xf numFmtId="0" fontId="23" fillId="0" borderId="52" xfId="0" applyFont="1" applyBorder="1" applyAlignment="1">
      <alignment horizontal="left"/>
    </xf>
    <xf numFmtId="0" fontId="23" fillId="0" borderId="38" xfId="0" applyFont="1" applyBorder="1" applyAlignment="1">
      <alignment horizontal="left"/>
    </xf>
    <xf numFmtId="0" fontId="23" fillId="0" borderId="51" xfId="0" applyFont="1" applyBorder="1" applyAlignment="1">
      <alignment horizontal="left"/>
    </xf>
    <xf numFmtId="0" fontId="3" fillId="10" borderId="0" xfId="0" applyFont="1" applyFill="1" applyAlignment="1">
      <alignment horizontal="left" vertical="center" wrapText="1"/>
    </xf>
    <xf numFmtId="0" fontId="3" fillId="10" borderId="0" xfId="0" applyFont="1" applyFill="1" applyAlignment="1">
      <alignment horizontal="left" vertical="center"/>
    </xf>
    <xf numFmtId="0" fontId="4" fillId="13" borderId="0" xfId="0" applyFont="1" applyFill="1" applyAlignment="1">
      <alignment horizontal="left" vertical="center"/>
    </xf>
    <xf numFmtId="0" fontId="8" fillId="0" borderId="45" xfId="0" applyFont="1" applyBorder="1" applyAlignment="1" applyProtection="1">
      <alignment horizontal="center" vertical="center" wrapText="1"/>
    </xf>
    <xf numFmtId="0" fontId="8" fillId="0" borderId="55" xfId="0" applyFont="1" applyBorder="1" applyAlignment="1" applyProtection="1">
      <alignment horizontal="center" vertical="center" wrapText="1"/>
    </xf>
    <xf numFmtId="0" fontId="4" fillId="7" borderId="27" xfId="0" applyFont="1" applyFill="1" applyBorder="1" applyAlignment="1" applyProtection="1">
      <alignment horizontal="left" vertical="top"/>
      <protection locked="0"/>
    </xf>
    <xf numFmtId="0" fontId="4" fillId="0" borderId="0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14" fontId="8" fillId="0" borderId="11" xfId="0" applyNumberFormat="1" applyFont="1" applyBorder="1" applyAlignment="1">
      <alignment horizontal="center" vertical="center" wrapText="1"/>
    </xf>
    <xf numFmtId="14" fontId="8" fillId="0" borderId="8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52" xfId="0" applyFont="1" applyBorder="1" applyAlignment="1" applyProtection="1">
      <alignment horizontal="center" wrapText="1"/>
    </xf>
    <xf numFmtId="0" fontId="3" fillId="0" borderId="38" xfId="0" applyFont="1" applyBorder="1" applyAlignment="1" applyProtection="1">
      <alignment horizontal="center" wrapText="1"/>
    </xf>
    <xf numFmtId="0" fontId="10" fillId="0" borderId="8" xfId="0" applyFont="1" applyBorder="1" applyAlignment="1" applyProtection="1">
      <alignment horizontal="right" vertical="center"/>
    </xf>
    <xf numFmtId="0" fontId="0" fillId="0" borderId="2" xfId="0" applyBorder="1" applyAlignment="1" applyProtection="1">
      <alignment horizontal="center"/>
    </xf>
    <xf numFmtId="0" fontId="0" fillId="0" borderId="48" xfId="0" applyBorder="1" applyAlignment="1" applyProtection="1">
      <alignment horizontal="center"/>
    </xf>
    <xf numFmtId="0" fontId="3" fillId="0" borderId="29" xfId="0" applyFont="1" applyBorder="1" applyAlignment="1" applyProtection="1">
      <alignment horizontal="center" vertical="center"/>
    </xf>
    <xf numFmtId="0" fontId="3" fillId="0" borderId="30" xfId="0" applyFont="1" applyBorder="1" applyAlignment="1" applyProtection="1">
      <alignment horizontal="center" vertical="center"/>
    </xf>
    <xf numFmtId="0" fontId="3" fillId="0" borderId="31" xfId="0" applyFont="1" applyBorder="1" applyAlignment="1" applyProtection="1">
      <alignment horizontal="center" vertical="center"/>
    </xf>
    <xf numFmtId="49" fontId="0" fillId="7" borderId="70" xfId="0" applyNumberFormat="1" applyFill="1" applyBorder="1" applyAlignment="1" applyProtection="1">
      <alignment horizontal="center" vertical="center"/>
    </xf>
    <xf numFmtId="49" fontId="0" fillId="7" borderId="68" xfId="0" applyNumberFormat="1" applyFill="1" applyBorder="1" applyAlignment="1" applyProtection="1">
      <alignment horizontal="center" vertical="center"/>
    </xf>
    <xf numFmtId="49" fontId="0" fillId="7" borderId="69" xfId="0" applyNumberFormat="1" applyFill="1" applyBorder="1" applyAlignment="1" applyProtection="1">
      <alignment horizontal="center" vertical="center"/>
    </xf>
    <xf numFmtId="0" fontId="0" fillId="7" borderId="70" xfId="0" applyFill="1" applyBorder="1" applyAlignment="1" applyProtection="1">
      <alignment horizontal="center" vertical="center"/>
    </xf>
    <xf numFmtId="0" fontId="0" fillId="7" borderId="68" xfId="0" applyFill="1" applyBorder="1" applyAlignment="1" applyProtection="1">
      <alignment horizontal="center" vertical="center"/>
    </xf>
    <xf numFmtId="0" fontId="0" fillId="7" borderId="69" xfId="0" applyFill="1" applyBorder="1" applyAlignment="1" applyProtection="1">
      <alignment horizontal="center" vertical="center"/>
    </xf>
    <xf numFmtId="49" fontId="4" fillId="7" borderId="70" xfId="0" applyNumberFormat="1" applyFont="1" applyFill="1" applyBorder="1" applyAlignment="1" applyProtection="1">
      <alignment horizontal="center" vertical="center"/>
    </xf>
    <xf numFmtId="0" fontId="0" fillId="7" borderId="68" xfId="0" applyNumberFormat="1" applyFill="1" applyBorder="1" applyAlignment="1" applyProtection="1">
      <alignment horizontal="center" vertical="center"/>
    </xf>
    <xf numFmtId="0" fontId="0" fillId="7" borderId="69" xfId="0" applyNumberFormat="1" applyFill="1" applyBorder="1" applyAlignment="1" applyProtection="1">
      <alignment horizontal="center" vertical="center"/>
    </xf>
    <xf numFmtId="0" fontId="3" fillId="0" borderId="52" xfId="0" applyFont="1" applyBorder="1" applyAlignment="1" applyProtection="1">
      <alignment horizontal="left" vertical="center" wrapText="1"/>
    </xf>
    <xf numFmtId="0" fontId="3" fillId="0" borderId="55" xfId="0" applyFont="1" applyBorder="1" applyAlignment="1" applyProtection="1">
      <alignment horizontal="left" vertical="center" wrapText="1"/>
    </xf>
    <xf numFmtId="0" fontId="3" fillId="0" borderId="16" xfId="0" applyFont="1" applyBorder="1" applyAlignment="1" applyProtection="1">
      <alignment horizontal="left" vertical="center" wrapText="1"/>
    </xf>
    <xf numFmtId="0" fontId="3" fillId="0" borderId="58" xfId="0" applyFont="1" applyBorder="1" applyAlignment="1" applyProtection="1">
      <alignment horizontal="left" vertical="center" wrapText="1"/>
    </xf>
    <xf numFmtId="1" fontId="0" fillId="7" borderId="70" xfId="0" applyNumberFormat="1" applyFill="1" applyBorder="1" applyAlignment="1" applyProtection="1">
      <alignment horizontal="center" vertical="center"/>
    </xf>
    <xf numFmtId="1" fontId="0" fillId="7" borderId="68" xfId="0" applyNumberFormat="1" applyFill="1" applyBorder="1" applyAlignment="1" applyProtection="1">
      <alignment horizontal="center" vertical="center"/>
    </xf>
    <xf numFmtId="1" fontId="0" fillId="7" borderId="69" xfId="0" applyNumberFormat="1" applyFill="1" applyBorder="1" applyAlignment="1" applyProtection="1">
      <alignment horizontal="center" vertical="center"/>
    </xf>
    <xf numFmtId="1" fontId="8" fillId="7" borderId="70" xfId="0" applyNumberFormat="1" applyFont="1" applyFill="1" applyBorder="1" applyAlignment="1" applyProtection="1">
      <alignment horizontal="center" vertical="center"/>
    </xf>
    <xf numFmtId="0" fontId="8" fillId="7" borderId="68" xfId="0" applyFont="1" applyFill="1" applyBorder="1" applyAlignment="1" applyProtection="1">
      <alignment horizontal="center" vertical="center"/>
    </xf>
    <xf numFmtId="0" fontId="8" fillId="7" borderId="69" xfId="0" applyFont="1" applyFill="1" applyBorder="1" applyAlignment="1" applyProtection="1">
      <alignment horizontal="center" vertical="center"/>
    </xf>
    <xf numFmtId="0" fontId="0" fillId="0" borderId="37" xfId="0" applyBorder="1" applyAlignment="1" applyProtection="1">
      <alignment horizontal="center"/>
    </xf>
    <xf numFmtId="0" fontId="0" fillId="0" borderId="34" xfId="0" applyBorder="1" applyAlignment="1" applyProtection="1">
      <alignment horizontal="center"/>
    </xf>
    <xf numFmtId="0" fontId="8" fillId="0" borderId="1" xfId="0" applyFont="1" applyBorder="1" applyAlignment="1" applyProtection="1">
      <alignment horizontal="center"/>
    </xf>
    <xf numFmtId="0" fontId="8" fillId="0" borderId="7" xfId="0" applyFont="1" applyBorder="1" applyAlignment="1" applyProtection="1">
      <alignment horizontal="center"/>
    </xf>
    <xf numFmtId="0" fontId="8" fillId="0" borderId="9" xfId="0" applyFont="1" applyBorder="1" applyAlignment="1" applyProtection="1">
      <alignment horizontal="center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7" xfId="0" applyFont="1" applyBorder="1" applyAlignment="1" applyProtection="1">
      <alignment horizontal="center" vertical="center" wrapText="1"/>
    </xf>
    <xf numFmtId="0" fontId="8" fillId="0" borderId="9" xfId="0" applyFont="1" applyBorder="1" applyAlignment="1" applyProtection="1">
      <alignment horizontal="center" vertical="center" wrapText="1"/>
    </xf>
    <xf numFmtId="0" fontId="6" fillId="0" borderId="22" xfId="0" applyFont="1" applyFill="1" applyBorder="1" applyAlignment="1" applyProtection="1">
      <alignment horizontal="center" vertical="center"/>
    </xf>
    <xf numFmtId="0" fontId="6" fillId="0" borderId="21" xfId="0" applyFont="1" applyFill="1" applyBorder="1" applyAlignment="1" applyProtection="1">
      <alignment horizontal="center" vertical="center"/>
    </xf>
    <xf numFmtId="0" fontId="6" fillId="0" borderId="23" xfId="0" applyFont="1" applyFill="1" applyBorder="1" applyAlignment="1" applyProtection="1">
      <alignment horizontal="center" vertical="center"/>
    </xf>
    <xf numFmtId="0" fontId="10" fillId="0" borderId="47" xfId="0" applyFont="1" applyBorder="1" applyAlignment="1" applyProtection="1">
      <alignment horizontal="left" vertical="center"/>
    </xf>
    <xf numFmtId="0" fontId="10" fillId="0" borderId="7" xfId="0" applyFont="1" applyBorder="1" applyAlignment="1" applyProtection="1">
      <alignment horizontal="left" vertical="center"/>
    </xf>
    <xf numFmtId="0" fontId="10" fillId="0" borderId="62" xfId="0" applyFont="1" applyBorder="1" applyAlignment="1" applyProtection="1">
      <alignment horizontal="left" vertical="center"/>
    </xf>
    <xf numFmtId="0" fontId="8" fillId="0" borderId="33" xfId="0" applyFont="1" applyBorder="1" applyAlignment="1" applyProtection="1">
      <alignment horizontal="left" vertical="center"/>
    </xf>
    <xf numFmtId="0" fontId="8" fillId="0" borderId="36" xfId="0" applyFont="1" applyBorder="1" applyAlignment="1" applyProtection="1">
      <alignment horizontal="left" vertical="center"/>
    </xf>
    <xf numFmtId="0" fontId="8" fillId="0" borderId="32" xfId="0" applyFont="1" applyBorder="1" applyAlignment="1" applyProtection="1">
      <alignment horizontal="left" vertical="center"/>
    </xf>
    <xf numFmtId="0" fontId="6" fillId="0" borderId="59" xfId="0" applyFont="1" applyBorder="1" applyAlignment="1" applyProtection="1">
      <alignment horizontal="left" vertical="center"/>
    </xf>
    <xf numFmtId="0" fontId="6" fillId="0" borderId="61" xfId="0" applyFont="1" applyBorder="1" applyAlignment="1" applyProtection="1">
      <alignment horizontal="left" vertical="center"/>
    </xf>
    <xf numFmtId="0" fontId="4" fillId="0" borderId="45" xfId="0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left" vertical="center"/>
    </xf>
    <xf numFmtId="0" fontId="6" fillId="0" borderId="45" xfId="0" applyFont="1" applyBorder="1" applyAlignment="1" applyProtection="1">
      <alignment horizontal="left" vertical="center"/>
    </xf>
    <xf numFmtId="0" fontId="6" fillId="0" borderId="2" xfId="0" applyFont="1" applyBorder="1" applyAlignment="1" applyProtection="1">
      <alignment horizontal="left" vertical="center"/>
    </xf>
    <xf numFmtId="0" fontId="8" fillId="0" borderId="52" xfId="0" applyFont="1" applyBorder="1" applyAlignment="1" applyProtection="1">
      <alignment horizontal="left" vertical="center"/>
    </xf>
    <xf numFmtId="0" fontId="8" fillId="0" borderId="38" xfId="0" applyFont="1" applyBorder="1" applyAlignment="1" applyProtection="1">
      <alignment horizontal="left" vertical="center"/>
    </xf>
    <xf numFmtId="0" fontId="6" fillId="0" borderId="55" xfId="0" applyFont="1" applyBorder="1" applyAlignment="1" applyProtection="1">
      <alignment horizontal="left" vertical="center"/>
    </xf>
    <xf numFmtId="0" fontId="6" fillId="0" borderId="43" xfId="0" applyFont="1" applyBorder="1" applyAlignment="1" applyProtection="1">
      <alignment horizontal="left" vertical="center"/>
    </xf>
    <xf numFmtId="164" fontId="23" fillId="0" borderId="10" xfId="0" applyNumberFormat="1" applyFont="1" applyBorder="1" applyAlignment="1" applyProtection="1">
      <alignment horizontal="left" vertical="center"/>
    </xf>
    <xf numFmtId="164" fontId="23" fillId="0" borderId="15" xfId="0" applyNumberFormat="1" applyFont="1" applyBorder="1" applyAlignment="1" applyProtection="1">
      <alignment horizontal="left" vertical="center"/>
    </xf>
    <xf numFmtId="164" fontId="23" fillId="0" borderId="14" xfId="0" applyNumberFormat="1" applyFont="1" applyBorder="1" applyAlignment="1" applyProtection="1">
      <alignment horizontal="left" vertical="center"/>
    </xf>
    <xf numFmtId="164" fontId="3" fillId="0" borderId="55" xfId="0" applyNumberFormat="1" applyFont="1" applyBorder="1" applyAlignment="1" applyProtection="1">
      <alignment horizontal="left" vertical="center"/>
    </xf>
    <xf numFmtId="164" fontId="3" fillId="0" borderId="43" xfId="0" applyNumberFormat="1" applyFont="1" applyBorder="1" applyAlignment="1" applyProtection="1">
      <alignment horizontal="left" vertical="center"/>
    </xf>
    <xf numFmtId="0" fontId="6" fillId="0" borderId="5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center"/>
    </xf>
    <xf numFmtId="0" fontId="6" fillId="0" borderId="6" xfId="0" applyFont="1" applyBorder="1" applyAlignment="1" applyProtection="1">
      <alignment horizontal="left" vertical="center"/>
    </xf>
    <xf numFmtId="0" fontId="0" fillId="0" borderId="45" xfId="0" applyBorder="1" applyAlignment="1" applyProtection="1">
      <alignment horizontal="left" vertical="center"/>
    </xf>
    <xf numFmtId="0" fontId="0" fillId="0" borderId="2" xfId="0" applyBorder="1" applyAlignment="1" applyProtection="1">
      <alignment horizontal="left" vertical="center"/>
    </xf>
    <xf numFmtId="0" fontId="8" fillId="0" borderId="38" xfId="0" applyFont="1" applyBorder="1" applyAlignment="1" applyProtection="1">
      <alignment horizontal="center"/>
    </xf>
    <xf numFmtId="0" fontId="8" fillId="0" borderId="51" xfId="0" applyFont="1" applyBorder="1" applyAlignment="1" applyProtection="1">
      <alignment horizontal="center"/>
    </xf>
    <xf numFmtId="49" fontId="4" fillId="0" borderId="13" xfId="0" applyNumberFormat="1" applyFont="1" applyBorder="1" applyAlignment="1" applyProtection="1">
      <alignment horizontal="right"/>
    </xf>
    <xf numFmtId="0" fontId="8" fillId="0" borderId="0" xfId="0" applyFont="1" applyAlignment="1" applyProtection="1">
      <alignment horizontal="center"/>
    </xf>
    <xf numFmtId="14" fontId="8" fillId="0" borderId="1" xfId="0" applyNumberFormat="1" applyFont="1" applyBorder="1" applyAlignment="1" applyProtection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8" fillId="0" borderId="11" xfId="0" applyFont="1" applyBorder="1" applyAlignment="1">
      <alignment horizontal="center"/>
    </xf>
    <xf numFmtId="0" fontId="8" fillId="0" borderId="66" xfId="0" applyFont="1" applyBorder="1" applyAlignment="1">
      <alignment horizontal="center"/>
    </xf>
    <xf numFmtId="0" fontId="20" fillId="0" borderId="45" xfId="0" applyFont="1" applyBorder="1" applyAlignment="1">
      <alignment horizontal="left"/>
    </xf>
    <xf numFmtId="0" fontId="20" fillId="0" borderId="2" xfId="0" applyFont="1" applyBorder="1" applyAlignment="1">
      <alignment horizontal="left"/>
    </xf>
    <xf numFmtId="0" fontId="20" fillId="0" borderId="55" xfId="0" applyFont="1" applyBorder="1" applyAlignment="1">
      <alignment horizontal="left"/>
    </xf>
    <xf numFmtId="0" fontId="20" fillId="0" borderId="43" xfId="0" applyFont="1" applyBorder="1" applyAlignment="1">
      <alignment horizontal="left"/>
    </xf>
    <xf numFmtId="0" fontId="20" fillId="0" borderId="52" xfId="0" applyFont="1" applyBorder="1" applyAlignment="1">
      <alignment horizontal="left"/>
    </xf>
    <xf numFmtId="0" fontId="20" fillId="0" borderId="38" xfId="0" applyFont="1" applyBorder="1" applyAlignment="1">
      <alignment horizontal="left"/>
    </xf>
    <xf numFmtId="2" fontId="8" fillId="3" borderId="0" xfId="0" applyNumberFormat="1" applyFont="1" applyFill="1" applyAlignment="1">
      <alignment horizontal="left"/>
    </xf>
    <xf numFmtId="0" fontId="20" fillId="13" borderId="2" xfId="0" applyFont="1" applyFill="1" applyBorder="1" applyAlignment="1">
      <alignment horizontal="left"/>
    </xf>
    <xf numFmtId="0" fontId="19" fillId="0" borderId="1" xfId="0" applyFont="1" applyBorder="1" applyAlignment="1">
      <alignment horizontal="left"/>
    </xf>
    <xf numFmtId="0" fontId="19" fillId="0" borderId="9" xfId="0" applyFont="1" applyBorder="1" applyAlignment="1">
      <alignment horizontal="left"/>
    </xf>
    <xf numFmtId="49" fontId="8" fillId="0" borderId="52" xfId="0" applyNumberFormat="1" applyFont="1" applyBorder="1" applyAlignment="1">
      <alignment horizontal="center" vertical="center"/>
    </xf>
    <xf numFmtId="49" fontId="8" fillId="0" borderId="38" xfId="0" applyNumberFormat="1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/>
    </xf>
    <xf numFmtId="14" fontId="8" fillId="0" borderId="43" xfId="0" applyNumberFormat="1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6" borderId="29" xfId="0" applyFont="1" applyFill="1" applyBorder="1" applyAlignment="1">
      <alignment horizontal="center" vertical="center" wrapText="1"/>
    </xf>
    <xf numFmtId="0" fontId="9" fillId="6" borderId="35" xfId="0" applyFont="1" applyFill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4" fillId="16" borderId="45" xfId="0" applyFont="1" applyFill="1" applyBorder="1"/>
    <xf numFmtId="0" fontId="4" fillId="0" borderId="45" xfId="0" applyFont="1" applyFill="1" applyBorder="1"/>
  </cellXfs>
  <cellStyles count="3">
    <cellStyle name="Euro" xfId="1" xr:uid="{00000000-0005-0000-0000-000000000000}"/>
    <cellStyle name="Standard" xfId="0" builtinId="0"/>
    <cellStyle name="Währung" xfId="2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pageSetUpPr fitToPage="1"/>
  </sheetPr>
  <dimension ref="A1:K57"/>
  <sheetViews>
    <sheetView showGridLines="0" zoomScale="85" zoomScaleNormal="85" workbookViewId="0">
      <selection activeCell="F27" sqref="F27"/>
    </sheetView>
  </sheetViews>
  <sheetFormatPr baseColWidth="10" defaultColWidth="11.42578125" defaultRowHeight="12.75" x14ac:dyDescent="0.2"/>
  <cols>
    <col min="1" max="1" width="38.85546875" style="131" customWidth="1"/>
    <col min="2" max="2" width="5" style="271" customWidth="1"/>
    <col min="3" max="3" width="6.5703125" style="131" customWidth="1"/>
    <col min="4" max="4" width="11.140625" style="131" customWidth="1"/>
    <col min="5" max="5" width="13.140625" style="131" customWidth="1"/>
    <col min="6" max="6" width="9.42578125" style="131" customWidth="1"/>
    <col min="7" max="7" width="10.140625" style="131" customWidth="1"/>
    <col min="8" max="8" width="3.42578125" style="131" customWidth="1"/>
    <col min="9" max="16384" width="11.42578125" style="131"/>
  </cols>
  <sheetData>
    <row r="1" spans="1:7" ht="20.25" x14ac:dyDescent="0.2">
      <c r="A1" s="815" t="s">
        <v>395</v>
      </c>
      <c r="B1" s="815"/>
      <c r="C1" s="815"/>
      <c r="D1" s="815"/>
      <c r="E1" s="815"/>
      <c r="F1" s="815"/>
      <c r="G1" s="815"/>
    </row>
    <row r="2" spans="1:7" ht="15.75" thickBot="1" x14ac:dyDescent="0.25">
      <c r="A2" s="270"/>
    </row>
    <row r="3" spans="1:7" ht="15.75" x14ac:dyDescent="0.25">
      <c r="A3" s="824" t="s">
        <v>123</v>
      </c>
      <c r="B3" s="825"/>
      <c r="C3" s="826"/>
      <c r="D3" s="272" t="s">
        <v>138</v>
      </c>
      <c r="E3" s="273" t="s">
        <v>139</v>
      </c>
      <c r="F3" s="820" t="s">
        <v>140</v>
      </c>
      <c r="G3" s="821"/>
    </row>
    <row r="4" spans="1:7" s="274" customFormat="1" ht="65.25" customHeight="1" thickBot="1" x14ac:dyDescent="0.25">
      <c r="A4" s="827" t="s">
        <v>490</v>
      </c>
      <c r="B4" s="828"/>
      <c r="C4" s="829"/>
      <c r="D4" s="498" t="s">
        <v>483</v>
      </c>
      <c r="E4" s="559">
        <v>44628</v>
      </c>
      <c r="F4" s="822" t="s">
        <v>307</v>
      </c>
      <c r="G4" s="823"/>
    </row>
    <row r="5" spans="1:7" s="274" customFormat="1" ht="16.5" thickBot="1" x14ac:dyDescent="0.3">
      <c r="A5" s="672" t="s">
        <v>124</v>
      </c>
      <c r="B5" s="673">
        <v>11</v>
      </c>
      <c r="C5" s="685"/>
      <c r="D5" s="687"/>
      <c r="E5" s="263" t="s">
        <v>342</v>
      </c>
      <c r="F5" s="262"/>
      <c r="G5" s="262"/>
    </row>
    <row r="6" spans="1:7" s="274" customFormat="1" ht="16.5" thickBot="1" x14ac:dyDescent="0.3">
      <c r="A6" s="674" t="s">
        <v>424</v>
      </c>
      <c r="B6" s="675">
        <v>0</v>
      </c>
      <c r="C6" s="676" t="s">
        <v>279</v>
      </c>
      <c r="D6" s="686">
        <v>2</v>
      </c>
      <c r="F6" s="262"/>
      <c r="G6" s="262"/>
    </row>
    <row r="7" spans="1:7" s="274" customFormat="1" ht="32.25" thickBot="1" x14ac:dyDescent="0.3">
      <c r="A7" s="678" t="s">
        <v>425</v>
      </c>
      <c r="B7" s="675">
        <v>1</v>
      </c>
      <c r="C7" s="676" t="s">
        <v>280</v>
      </c>
      <c r="D7" s="677">
        <v>2</v>
      </c>
      <c r="E7" s="679" t="s">
        <v>281</v>
      </c>
      <c r="F7" s="680">
        <v>2</v>
      </c>
      <c r="G7" s="262"/>
    </row>
    <row r="8" spans="1:7" s="274" customFormat="1" ht="16.5" thickBot="1" x14ac:dyDescent="0.3">
      <c r="A8" s="678" t="s">
        <v>426</v>
      </c>
      <c r="B8" s="675">
        <v>0</v>
      </c>
      <c r="C8" s="676" t="s">
        <v>280</v>
      </c>
      <c r="D8" s="681">
        <v>0</v>
      </c>
      <c r="E8" s="679" t="s">
        <v>281</v>
      </c>
      <c r="F8" s="680">
        <v>0</v>
      </c>
      <c r="G8" s="275"/>
    </row>
    <row r="9" spans="1:7" s="274" customFormat="1" ht="16.5" thickBot="1" x14ac:dyDescent="0.3">
      <c r="A9" s="678" t="s">
        <v>427</v>
      </c>
      <c r="B9" s="675">
        <v>0</v>
      </c>
      <c r="C9" s="676" t="s">
        <v>280</v>
      </c>
      <c r="D9" s="681">
        <v>0</v>
      </c>
      <c r="E9" s="679" t="s">
        <v>281</v>
      </c>
      <c r="F9" s="680">
        <v>0</v>
      </c>
      <c r="G9" s="275"/>
    </row>
    <row r="10" spans="1:7" s="274" customFormat="1" ht="16.5" thickBot="1" x14ac:dyDescent="0.3">
      <c r="A10" s="674" t="s">
        <v>355</v>
      </c>
      <c r="B10" s="675">
        <v>1</v>
      </c>
      <c r="C10" s="676" t="s">
        <v>279</v>
      </c>
      <c r="D10" s="682">
        <v>2</v>
      </c>
      <c r="E10" s="264"/>
      <c r="F10" s="262"/>
      <c r="G10" s="275"/>
    </row>
    <row r="11" spans="1:7" s="274" customFormat="1" ht="16.5" thickBot="1" x14ac:dyDescent="0.3">
      <c r="A11" s="683" t="s">
        <v>453</v>
      </c>
      <c r="B11" s="684">
        <v>0</v>
      </c>
      <c r="C11" s="262"/>
      <c r="D11" s="262"/>
      <c r="E11" s="264"/>
      <c r="F11" s="262"/>
      <c r="G11" s="275"/>
    </row>
    <row r="12" spans="1:7" s="274" customFormat="1" ht="16.5" thickBot="1" x14ac:dyDescent="0.3">
      <c r="A12" s="674" t="s">
        <v>428</v>
      </c>
      <c r="B12" s="675">
        <v>0</v>
      </c>
      <c r="C12" s="676" t="s">
        <v>429</v>
      </c>
      <c r="D12" s="682">
        <v>0</v>
      </c>
      <c r="E12" s="264"/>
      <c r="F12" s="262"/>
      <c r="G12" s="703"/>
    </row>
    <row r="13" spans="1:7" s="274" customFormat="1" ht="15.75" x14ac:dyDescent="0.25">
      <c r="A13" s="276"/>
      <c r="B13" s="262"/>
      <c r="C13" s="262"/>
      <c r="D13" s="262"/>
      <c r="E13" s="264"/>
      <c r="F13" s="262"/>
      <c r="G13" s="275"/>
    </row>
    <row r="14" spans="1:7" ht="15.75" x14ac:dyDescent="0.25">
      <c r="A14" s="277" t="s">
        <v>351</v>
      </c>
      <c r="B14" s="278"/>
      <c r="C14" s="279"/>
      <c r="D14" s="280"/>
      <c r="E14" s="281"/>
    </row>
    <row r="15" spans="1:7" ht="15.75" x14ac:dyDescent="0.25">
      <c r="A15" s="818" t="s">
        <v>21</v>
      </c>
      <c r="B15" s="818"/>
      <c r="C15" s="818"/>
      <c r="D15" s="282" t="s">
        <v>22</v>
      </c>
      <c r="E15" s="819" t="s">
        <v>23</v>
      </c>
      <c r="F15" s="819"/>
    </row>
    <row r="16" spans="1:7" ht="25.5" x14ac:dyDescent="0.2">
      <c r="A16" s="283" t="s">
        <v>350</v>
      </c>
      <c r="B16" s="284"/>
      <c r="C16" s="285"/>
      <c r="D16" s="286" t="s">
        <v>249</v>
      </c>
      <c r="E16" s="287">
        <f>HW!F184</f>
        <v>9787.5</v>
      </c>
      <c r="F16" s="288" t="s">
        <v>51</v>
      </c>
    </row>
    <row r="17" spans="1:11" x14ac:dyDescent="0.2">
      <c r="A17" s="283" t="s">
        <v>61</v>
      </c>
      <c r="B17" s="284"/>
      <c r="C17" s="285"/>
      <c r="D17" s="286" t="s">
        <v>250</v>
      </c>
      <c r="E17" s="287">
        <f>HW!F150</f>
        <v>36435.79</v>
      </c>
      <c r="F17" s="288" t="s">
        <v>51</v>
      </c>
      <c r="G17" s="450"/>
    </row>
    <row r="18" spans="1:11" x14ac:dyDescent="0.2">
      <c r="A18" s="289" t="s">
        <v>78</v>
      </c>
      <c r="B18" s="290"/>
      <c r="C18" s="291"/>
      <c r="D18" s="291"/>
      <c r="E18" s="292">
        <f>E16+E17</f>
        <v>46223.29</v>
      </c>
    </row>
    <row r="19" spans="1:11" x14ac:dyDescent="0.2">
      <c r="A19" s="279"/>
      <c r="D19" s="293" t="s">
        <v>251</v>
      </c>
      <c r="E19" s="294"/>
      <c r="F19" s="258" t="s">
        <v>63</v>
      </c>
      <c r="G19" s="128" t="s">
        <v>64</v>
      </c>
    </row>
    <row r="20" spans="1:11" ht="15" x14ac:dyDescent="0.3">
      <c r="A20" s="295" t="s">
        <v>340</v>
      </c>
      <c r="B20" s="296"/>
      <c r="C20" s="297"/>
      <c r="D20" s="298">
        <v>10</v>
      </c>
      <c r="E20" s="299">
        <f>F20*G20</f>
        <v>5106.666666666667</v>
      </c>
      <c r="F20" s="300">
        <f>DL!E32</f>
        <v>159.58333333333334</v>
      </c>
      <c r="G20" s="500">
        <v>32</v>
      </c>
    </row>
    <row r="21" spans="1:11" ht="15" x14ac:dyDescent="0.3">
      <c r="A21" s="656" t="s">
        <v>450</v>
      </c>
      <c r="B21" s="657"/>
      <c r="C21" s="658"/>
      <c r="D21" s="312">
        <v>121</v>
      </c>
      <c r="E21" s="727">
        <f>F21*G21</f>
        <v>0</v>
      </c>
      <c r="F21" s="728">
        <f>HW!M37+HW!M40+HW!M43+HW!M46+HW!M49+HW!M52+HW!M59+HW!M63</f>
        <v>56</v>
      </c>
      <c r="G21" s="502">
        <v>0</v>
      </c>
    </row>
    <row r="22" spans="1:11" ht="15" x14ac:dyDescent="0.3">
      <c r="A22" s="301" t="s">
        <v>341</v>
      </c>
      <c r="B22" s="296"/>
      <c r="C22" s="297"/>
      <c r="D22" s="298">
        <v>43</v>
      </c>
      <c r="E22" s="299">
        <f>F22*G22</f>
        <v>5805</v>
      </c>
      <c r="F22" s="300">
        <f>DL!E24</f>
        <v>129</v>
      </c>
      <c r="G22" s="500">
        <v>45</v>
      </c>
    </row>
    <row r="23" spans="1:11" ht="15" x14ac:dyDescent="0.3">
      <c r="A23" s="301" t="s">
        <v>253</v>
      </c>
      <c r="B23" s="296"/>
      <c r="C23" s="297"/>
      <c r="D23" s="302">
        <v>40</v>
      </c>
      <c r="E23" s="299">
        <f>F23*G23</f>
        <v>0</v>
      </c>
      <c r="F23" s="487">
        <v>0</v>
      </c>
      <c r="G23" s="501">
        <v>60</v>
      </c>
    </row>
    <row r="24" spans="1:11" ht="15" x14ac:dyDescent="0.3">
      <c r="A24" s="306" t="s">
        <v>407</v>
      </c>
      <c r="B24" s="304"/>
      <c r="D24" s="302" t="s">
        <v>321</v>
      </c>
      <c r="E24" s="729">
        <v>3100</v>
      </c>
      <c r="F24" s="486"/>
      <c r="G24" s="501">
        <v>75</v>
      </c>
      <c r="I24" s="305"/>
    </row>
    <row r="25" spans="1:11" ht="15" x14ac:dyDescent="0.3">
      <c r="A25" s="306" t="s">
        <v>252</v>
      </c>
      <c r="B25" s="304"/>
      <c r="C25" s="492">
        <v>0</v>
      </c>
      <c r="D25" s="302" t="s">
        <v>322</v>
      </c>
      <c r="E25" s="307">
        <f>E24*C25</f>
        <v>0</v>
      </c>
      <c r="F25" s="488">
        <v>0</v>
      </c>
      <c r="G25" s="501">
        <v>60</v>
      </c>
      <c r="H25" s="308"/>
    </row>
    <row r="26" spans="1:11" ht="15" x14ac:dyDescent="0.3">
      <c r="A26" s="130"/>
      <c r="B26" s="296"/>
      <c r="C26" s="309"/>
      <c r="D26" s="310"/>
      <c r="E26" s="309"/>
      <c r="F26" s="309"/>
      <c r="G26" s="309"/>
    </row>
    <row r="27" spans="1:11" ht="15" x14ac:dyDescent="0.3">
      <c r="A27" s="289" t="s">
        <v>52</v>
      </c>
      <c r="B27" s="290"/>
      <c r="C27" s="311"/>
      <c r="D27" s="312">
        <v>25</v>
      </c>
      <c r="E27" s="313">
        <f>F27*G27</f>
        <v>5068.8</v>
      </c>
      <c r="F27" s="314">
        <f>EMO!D22</f>
        <v>140.80000000000001</v>
      </c>
      <c r="G27" s="502">
        <v>36</v>
      </c>
      <c r="K27" s="642"/>
    </row>
    <row r="28" spans="1:11" ht="15" x14ac:dyDescent="0.3">
      <c r="A28" s="303" t="s">
        <v>53</v>
      </c>
      <c r="B28" s="304"/>
      <c r="C28" s="315"/>
      <c r="D28" s="302">
        <v>26</v>
      </c>
      <c r="E28" s="316">
        <f>F28*G28</f>
        <v>506.88000000000005</v>
      </c>
      <c r="F28" s="670">
        <f>F27*0.1</f>
        <v>14.080000000000002</v>
      </c>
      <c r="G28" s="501">
        <v>36</v>
      </c>
    </row>
    <row r="29" spans="1:11" ht="15" x14ac:dyDescent="0.3">
      <c r="A29" s="130"/>
      <c r="B29" s="296"/>
      <c r="C29" s="309"/>
      <c r="D29" s="310"/>
      <c r="E29" s="309"/>
      <c r="F29" s="309"/>
      <c r="G29" s="309"/>
    </row>
    <row r="30" spans="1:11" ht="27" x14ac:dyDescent="0.3">
      <c r="A30" s="317" t="s">
        <v>339</v>
      </c>
      <c r="B30" s="290"/>
      <c r="C30" s="311"/>
      <c r="D30" s="312" t="s">
        <v>323</v>
      </c>
      <c r="E30" s="299">
        <f>F30*G30</f>
        <v>3000</v>
      </c>
      <c r="F30" s="730">
        <v>40</v>
      </c>
      <c r="G30" s="671">
        <v>75</v>
      </c>
      <c r="H30" s="318"/>
      <c r="I30" s="305"/>
    </row>
    <row r="31" spans="1:11" ht="15" x14ac:dyDescent="0.3">
      <c r="A31" s="319" t="s">
        <v>57</v>
      </c>
      <c r="B31" s="296"/>
      <c r="C31" s="297"/>
      <c r="D31" s="298">
        <v>49</v>
      </c>
      <c r="E31" s="299">
        <f>F31*G31</f>
        <v>0</v>
      </c>
      <c r="F31" s="487">
        <v>0</v>
      </c>
      <c r="G31" s="500">
        <v>60</v>
      </c>
    </row>
    <row r="32" spans="1:11" ht="15" x14ac:dyDescent="0.2">
      <c r="A32" s="320" t="s">
        <v>324</v>
      </c>
      <c r="C32" s="492">
        <v>1</v>
      </c>
      <c r="D32" s="321">
        <v>26</v>
      </c>
      <c r="E32" s="322">
        <f>F32*G32</f>
        <v>1440</v>
      </c>
      <c r="F32" s="323">
        <f>F30*C32</f>
        <v>40</v>
      </c>
      <c r="G32" s="503">
        <v>36</v>
      </c>
    </row>
    <row r="33" spans="1:7" ht="17.25" customHeight="1" x14ac:dyDescent="0.3">
      <c r="A33" s="319"/>
      <c r="B33" s="296"/>
      <c r="C33" s="309"/>
      <c r="D33" s="324"/>
      <c r="E33" s="325"/>
      <c r="F33" s="326"/>
      <c r="G33" s="327"/>
    </row>
    <row r="34" spans="1:7" ht="32.25" customHeight="1" x14ac:dyDescent="0.3">
      <c r="A34" s="328" t="s">
        <v>403</v>
      </c>
      <c r="B34" s="816"/>
      <c r="C34" s="817"/>
      <c r="D34" s="329">
        <v>65</v>
      </c>
      <c r="E34" s="334">
        <f>G34*F34</f>
        <v>0</v>
      </c>
      <c r="F34" s="489">
        <v>0</v>
      </c>
      <c r="G34" s="503">
        <v>35</v>
      </c>
    </row>
    <row r="35" spans="1:7" ht="15" x14ac:dyDescent="0.3">
      <c r="A35" s="303" t="s">
        <v>55</v>
      </c>
      <c r="B35" s="304"/>
      <c r="C35" s="315"/>
      <c r="D35" s="302">
        <v>26</v>
      </c>
      <c r="E35" s="316">
        <f>F35*G35</f>
        <v>0</v>
      </c>
      <c r="F35" s="488">
        <v>0</v>
      </c>
      <c r="G35" s="501">
        <v>36</v>
      </c>
    </row>
    <row r="36" spans="1:7" ht="15" x14ac:dyDescent="0.3">
      <c r="A36" s="319"/>
      <c r="B36" s="296"/>
      <c r="C36" s="309"/>
      <c r="D36" s="324"/>
      <c r="E36" s="325"/>
      <c r="F36" s="326"/>
      <c r="G36" s="327"/>
    </row>
    <row r="37" spans="1:7" ht="15" x14ac:dyDescent="0.3">
      <c r="A37" s="330" t="s">
        <v>56</v>
      </c>
      <c r="C37" s="331"/>
      <c r="D37" s="329">
        <v>26</v>
      </c>
      <c r="E37" s="322">
        <f>F37*G37</f>
        <v>0</v>
      </c>
      <c r="F37" s="490">
        <v>0</v>
      </c>
      <c r="G37" s="503">
        <v>36</v>
      </c>
    </row>
    <row r="38" spans="1:7" ht="15" x14ac:dyDescent="0.3">
      <c r="A38" s="319"/>
      <c r="B38" s="296"/>
      <c r="C38" s="309"/>
      <c r="D38" s="324"/>
      <c r="E38" s="325"/>
      <c r="F38" s="326"/>
      <c r="G38" s="327"/>
    </row>
    <row r="39" spans="1:7" ht="15" x14ac:dyDescent="0.3">
      <c r="A39" s="289" t="s">
        <v>80</v>
      </c>
      <c r="B39" s="290"/>
      <c r="C39" s="311"/>
      <c r="D39" s="312">
        <v>46</v>
      </c>
      <c r="E39" s="313">
        <f>F39*G39</f>
        <v>0</v>
      </c>
      <c r="F39" s="491">
        <v>0</v>
      </c>
      <c r="G39" s="502">
        <v>75</v>
      </c>
    </row>
    <row r="40" spans="1:7" ht="15" x14ac:dyDescent="0.3">
      <c r="A40" s="319" t="s">
        <v>81</v>
      </c>
      <c r="B40" s="296"/>
      <c r="C40" s="297"/>
      <c r="D40" s="298">
        <v>49</v>
      </c>
      <c r="E40" s="299">
        <f>F40*G40</f>
        <v>0</v>
      </c>
      <c r="F40" s="487">
        <v>0</v>
      </c>
      <c r="G40" s="500">
        <v>60</v>
      </c>
    </row>
    <row r="41" spans="1:7" ht="15" x14ac:dyDescent="0.3">
      <c r="A41" s="289" t="s">
        <v>54</v>
      </c>
      <c r="B41" s="290"/>
      <c r="C41" s="311"/>
      <c r="D41" s="312">
        <v>26</v>
      </c>
      <c r="E41" s="313">
        <f>F41*G41</f>
        <v>0</v>
      </c>
      <c r="F41" s="491">
        <v>0</v>
      </c>
      <c r="G41" s="502">
        <v>36</v>
      </c>
    </row>
    <row r="43" spans="1:7" ht="15" x14ac:dyDescent="0.25">
      <c r="D43" s="279" t="s">
        <v>82</v>
      </c>
      <c r="E43" s="332">
        <f>SUM(E20:E41)+E18</f>
        <v>70250.636666666673</v>
      </c>
      <c r="F43" s="280"/>
    </row>
    <row r="44" spans="1:7" x14ac:dyDescent="0.2">
      <c r="A44" s="308"/>
    </row>
    <row r="45" spans="1:7" x14ac:dyDescent="0.2">
      <c r="A45" s="131" t="s">
        <v>0</v>
      </c>
    </row>
    <row r="46" spans="1:7" x14ac:dyDescent="0.2">
      <c r="A46" s="333" t="s">
        <v>79</v>
      </c>
    </row>
    <row r="47" spans="1:7" x14ac:dyDescent="0.2">
      <c r="A47" s="279" t="s">
        <v>336</v>
      </c>
    </row>
    <row r="48" spans="1:7" x14ac:dyDescent="0.2">
      <c r="A48" s="333" t="s">
        <v>335</v>
      </c>
    </row>
    <row r="49" spans="1:9" x14ac:dyDescent="0.2">
      <c r="A49" s="279" t="s">
        <v>201</v>
      </c>
    </row>
    <row r="50" spans="1:9" x14ac:dyDescent="0.2">
      <c r="A50" s="333" t="s">
        <v>285</v>
      </c>
    </row>
    <row r="51" spans="1:9" x14ac:dyDescent="0.2">
      <c r="A51" s="702" t="s">
        <v>437</v>
      </c>
    </row>
    <row r="52" spans="1:9" ht="46.5" customHeight="1" x14ac:dyDescent="0.2">
      <c r="A52" s="814"/>
      <c r="B52" s="814"/>
      <c r="C52" s="814"/>
      <c r="D52" s="814"/>
      <c r="E52" s="814"/>
      <c r="F52" s="814"/>
      <c r="G52" s="814"/>
      <c r="H52" s="814"/>
      <c r="I52" s="814"/>
    </row>
    <row r="53" spans="1:9" x14ac:dyDescent="0.2">
      <c r="A53" s="266" t="s">
        <v>489</v>
      </c>
      <c r="D53" s="308" t="s">
        <v>337</v>
      </c>
      <c r="E53" s="266" t="s">
        <v>307</v>
      </c>
    </row>
    <row r="57" spans="1:9" x14ac:dyDescent="0.2">
      <c r="A57" s="265" t="s">
        <v>360</v>
      </c>
      <c r="D57" s="308" t="s">
        <v>24</v>
      </c>
      <c r="E57" s="266"/>
    </row>
  </sheetData>
  <customSheetViews>
    <customSheetView guid="{3AE3C0CE-F6F6-4222-9052-F72F2FCDEDAE}" scale="115" showGridLines="0" fitToPage="1" topLeftCell="A13">
      <selection activeCell="J28" sqref="J28"/>
      <rowBreaks count="1" manualBreakCount="1">
        <brk id="13" max="16383" man="1"/>
      </rowBreaks>
      <pageMargins left="0.78740157480314965" right="0.78740157480314965" top="0.98425196850393704" bottom="0.98425196850393704" header="0.51181102362204722" footer="0.51181102362204722"/>
      <pageSetup paperSize="9" scale="77" orientation="portrait" r:id="rId1"/>
      <headerFooter alignWithMargins="0">
        <oddFooter>&amp;L\Kalkul_a\&amp;F&amp;RSeite &amp;P von &amp;N</oddFooter>
      </headerFooter>
    </customSheetView>
  </customSheetViews>
  <mergeCells count="9">
    <mergeCell ref="A52:I52"/>
    <mergeCell ref="A1:G1"/>
    <mergeCell ref="B34:C34"/>
    <mergeCell ref="A15:C15"/>
    <mergeCell ref="E15:F15"/>
    <mergeCell ref="F3:G3"/>
    <mergeCell ref="F4:G4"/>
    <mergeCell ref="A3:C3"/>
    <mergeCell ref="A4:C4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74" orientation="portrait" cellComments="asDisplayed" r:id="rId2"/>
  <headerFooter alignWithMargins="0">
    <oddFooter>&amp;L\Kalkul_a\&amp;F&amp;RSeite &amp;P von &amp;N</oddFooter>
  </headerFooter>
  <rowBreaks count="1" manualBreakCount="1">
    <brk id="14" max="16383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A1:L181"/>
  <sheetViews>
    <sheetView tabSelected="1" topLeftCell="A19" zoomScaleNormal="100" workbookViewId="0">
      <selection activeCell="K37" sqref="K37"/>
    </sheetView>
  </sheetViews>
  <sheetFormatPr baseColWidth="10" defaultRowHeight="12.75" x14ac:dyDescent="0.2"/>
  <cols>
    <col min="1" max="1" width="27.7109375" customWidth="1"/>
    <col min="2" max="2" width="14.85546875" customWidth="1"/>
    <col min="3" max="3" width="8.140625" customWidth="1"/>
    <col min="4" max="4" width="5.42578125" customWidth="1"/>
    <col min="5" max="5" width="13.7109375" customWidth="1"/>
    <col min="6" max="6" width="3.85546875" customWidth="1"/>
  </cols>
  <sheetData>
    <row r="1" spans="1:12" s="44" customFormat="1" ht="31.5" customHeight="1" x14ac:dyDescent="0.2">
      <c r="A1" s="833" t="str">
        <f>+DECKBLATT!A1</f>
        <v>KALKULATION SPINNEREI</v>
      </c>
      <c r="B1" s="833"/>
      <c r="C1" s="833"/>
      <c r="D1" s="833"/>
      <c r="E1" s="833"/>
      <c r="F1" s="833"/>
      <c r="G1" s="833"/>
      <c r="J1" s="45"/>
      <c r="K1" s="45"/>
      <c r="L1" s="45"/>
    </row>
    <row r="2" spans="1:12" s="44" customFormat="1" ht="29.25" customHeight="1" thickBot="1" x14ac:dyDescent="0.25">
      <c r="A2" s="48"/>
      <c r="B2" s="45"/>
      <c r="H2" s="848" t="s">
        <v>393</v>
      </c>
      <c r="I2" s="849"/>
      <c r="J2" s="849"/>
      <c r="K2" s="849"/>
      <c r="L2" s="45"/>
    </row>
    <row r="3" spans="1:12" s="44" customFormat="1" ht="15.75" x14ac:dyDescent="0.2">
      <c r="A3" s="599" t="str">
        <f>DECKBLATT!A3</f>
        <v>Projekt</v>
      </c>
      <c r="B3" s="600" t="str">
        <f>DECKBLATT!D3</f>
        <v>System</v>
      </c>
      <c r="C3" s="836" t="str">
        <f>DECKBLATT!E3</f>
        <v>Datum</v>
      </c>
      <c r="D3" s="836"/>
      <c r="E3" s="836" t="str">
        <f>DECKBLATT!F3</f>
        <v>Ersteller</v>
      </c>
      <c r="F3" s="839"/>
      <c r="H3" s="850" t="s">
        <v>378</v>
      </c>
      <c r="I3" s="850"/>
      <c r="J3" s="850"/>
      <c r="K3" s="850"/>
      <c r="L3" s="45"/>
    </row>
    <row r="4" spans="1:12" s="44" customFormat="1" ht="15.75" customHeight="1" thickBot="1" x14ac:dyDescent="0.25">
      <c r="A4" s="851" t="str">
        <f>DECKBLATT!A4</f>
        <v>Alpha Yarn Egypt 500537_10_0 FSA
Kein PC und keine Visualisierung. 
Textdisplay mit Störmeldungen ohne Grafik</v>
      </c>
      <c r="B4" s="834" t="str">
        <f>DECKBLATT!D4</f>
        <v>FA</v>
      </c>
      <c r="C4" s="837">
        <f>DECKBLATT!E4</f>
        <v>44628</v>
      </c>
      <c r="D4" s="837"/>
      <c r="E4" s="834" t="str">
        <f>DECKBLATT!F4</f>
        <v>Schellhammer</v>
      </c>
      <c r="F4" s="840"/>
      <c r="G4" s="598"/>
      <c r="H4" s="853" t="s">
        <v>379</v>
      </c>
      <c r="I4" s="853"/>
      <c r="J4" s="853"/>
      <c r="K4" s="853"/>
      <c r="L4" s="45"/>
    </row>
    <row r="5" spans="1:12" s="44" customFormat="1" ht="15.75" customHeight="1" thickBot="1" x14ac:dyDescent="0.25">
      <c r="A5" s="852"/>
      <c r="B5" s="835"/>
      <c r="C5" s="838"/>
      <c r="D5" s="838"/>
      <c r="E5" s="835"/>
      <c r="F5" s="841"/>
      <c r="G5" s="598"/>
      <c r="H5" s="497"/>
      <c r="I5" s="497"/>
      <c r="J5" s="497"/>
      <c r="K5" s="497"/>
      <c r="L5" s="45"/>
    </row>
    <row r="6" spans="1:12" s="44" customFormat="1" ht="16.5" customHeight="1" x14ac:dyDescent="0.2">
      <c r="A6" s="496"/>
      <c r="L6" s="45"/>
    </row>
    <row r="7" spans="1:12" ht="13.5" thickBot="1" x14ac:dyDescent="0.25">
      <c r="A7" s="42"/>
      <c r="B7" s="42"/>
    </row>
    <row r="8" spans="1:12" x14ac:dyDescent="0.2">
      <c r="A8" s="96" t="s">
        <v>387</v>
      </c>
      <c r="B8" s="97"/>
      <c r="C8" s="98"/>
      <c r="D8" s="98"/>
      <c r="E8" s="98"/>
      <c r="F8" s="98"/>
      <c r="G8" s="99"/>
    </row>
    <row r="9" spans="1:12" x14ac:dyDescent="0.2">
      <c r="A9" s="103" t="s">
        <v>210</v>
      </c>
      <c r="B9" s="125">
        <f>IF(DECKBLATT!$D$4="direct",DECKBLATT!$B$5,0)</f>
        <v>0</v>
      </c>
      <c r="C9" s="101"/>
      <c r="D9" s="101"/>
      <c r="E9" s="101"/>
      <c r="F9" s="101"/>
      <c r="G9" s="102"/>
    </row>
    <row r="10" spans="1:12" x14ac:dyDescent="0.2">
      <c r="A10" s="107" t="s">
        <v>246</v>
      </c>
      <c r="B10" s="125">
        <f>IF(DECKBLATT!$D$4="direct",8,0)</f>
        <v>0</v>
      </c>
      <c r="C10" s="101"/>
      <c r="D10" s="101"/>
      <c r="E10" s="101"/>
      <c r="F10" s="101"/>
      <c r="G10" s="102"/>
    </row>
    <row r="11" spans="1:12" x14ac:dyDescent="0.2">
      <c r="A11" s="103" t="s">
        <v>211</v>
      </c>
      <c r="B11" s="724">
        <v>0</v>
      </c>
      <c r="C11" s="116"/>
      <c r="D11" s="101"/>
      <c r="E11" s="101"/>
      <c r="F11" s="101"/>
      <c r="G11" s="102"/>
    </row>
    <row r="12" spans="1:12" x14ac:dyDescent="0.2">
      <c r="A12" s="107" t="s">
        <v>234</v>
      </c>
      <c r="B12" s="105">
        <f>B9*6</f>
        <v>0</v>
      </c>
      <c r="C12" s="101"/>
      <c r="D12" s="101"/>
      <c r="E12" s="101"/>
      <c r="F12" s="101"/>
      <c r="G12" s="102"/>
    </row>
    <row r="13" spans="1:12" x14ac:dyDescent="0.2">
      <c r="A13" s="103" t="s">
        <v>218</v>
      </c>
      <c r="B13" s="105">
        <f>ROUNDUP($B$9/10,0)+C13</f>
        <v>0</v>
      </c>
      <c r="C13" s="117">
        <v>0</v>
      </c>
      <c r="D13" s="101"/>
      <c r="E13" s="101"/>
      <c r="F13" s="101"/>
      <c r="G13" s="102"/>
    </row>
    <row r="14" spans="1:12" x14ac:dyDescent="0.2">
      <c r="A14" s="107" t="s">
        <v>232</v>
      </c>
      <c r="B14" s="105">
        <f>B9</f>
        <v>0</v>
      </c>
      <c r="C14" s="541" t="s">
        <v>213</v>
      </c>
      <c r="D14" s="101"/>
      <c r="E14" s="101"/>
      <c r="F14" s="101"/>
      <c r="G14" s="102"/>
    </row>
    <row r="15" spans="1:12" x14ac:dyDescent="0.2">
      <c r="A15" s="103" t="s">
        <v>31</v>
      </c>
      <c r="B15" s="105">
        <f>(B9*4)+C15</f>
        <v>0</v>
      </c>
      <c r="C15" s="117">
        <v>0</v>
      </c>
      <c r="D15" s="116"/>
      <c r="E15" s="101"/>
      <c r="F15" s="101"/>
      <c r="G15" s="102"/>
    </row>
    <row r="16" spans="1:12" x14ac:dyDescent="0.2">
      <c r="A16" s="103" t="s">
        <v>448</v>
      </c>
      <c r="B16" s="105">
        <f>ROUNDUP(B9/10,0)+C16</f>
        <v>0</v>
      </c>
      <c r="C16" s="117">
        <v>0</v>
      </c>
      <c r="D16" s="116"/>
      <c r="E16" s="101"/>
      <c r="F16" s="101"/>
      <c r="G16" s="102"/>
    </row>
    <row r="17" spans="1:7" x14ac:dyDescent="0.2">
      <c r="A17" s="107" t="str">
        <f>A177</f>
        <v>RA bi abhebbar</v>
      </c>
      <c r="B17" s="105">
        <f>ROUNDUP(B9*0.31,0)+C17</f>
        <v>0</v>
      </c>
      <c r="C17" s="117">
        <v>0</v>
      </c>
      <c r="D17" s="101"/>
      <c r="E17" s="101"/>
      <c r="F17" s="101"/>
      <c r="G17" s="102"/>
    </row>
    <row r="18" spans="1:7" x14ac:dyDescent="0.2">
      <c r="A18" s="107" t="s">
        <v>96</v>
      </c>
      <c r="B18" s="105">
        <f>B9*B10</f>
        <v>0</v>
      </c>
      <c r="C18" s="101"/>
      <c r="D18" s="101"/>
      <c r="E18" s="101"/>
      <c r="F18" s="101"/>
      <c r="G18" s="102"/>
    </row>
    <row r="19" spans="1:7" x14ac:dyDescent="0.2">
      <c r="A19" s="103" t="s">
        <v>36</v>
      </c>
      <c r="B19" s="105">
        <f>ROUNDUP(B9/6,0)*2</f>
        <v>0</v>
      </c>
      <c r="C19" s="101"/>
      <c r="D19" s="101"/>
      <c r="E19" s="101"/>
      <c r="F19" s="101"/>
      <c r="G19" s="102"/>
    </row>
    <row r="20" spans="1:7" x14ac:dyDescent="0.2">
      <c r="A20" s="107" t="s">
        <v>357</v>
      </c>
      <c r="B20" s="105">
        <f>ROUNDUP($B$9/8,0)+C20</f>
        <v>0</v>
      </c>
      <c r="C20" s="117">
        <v>0</v>
      </c>
      <c r="D20" s="101"/>
      <c r="E20" s="101"/>
      <c r="F20" s="101"/>
      <c r="G20" s="102"/>
    </row>
    <row r="21" spans="1:7" x14ac:dyDescent="0.2">
      <c r="A21" s="107" t="s">
        <v>242</v>
      </c>
      <c r="B21" s="105">
        <f>ROUNDUP($B$9/8,0)+C21</f>
        <v>0</v>
      </c>
      <c r="C21" s="117">
        <v>0</v>
      </c>
      <c r="D21" s="101"/>
      <c r="E21" s="101"/>
      <c r="F21" s="101"/>
      <c r="G21" s="102"/>
    </row>
    <row r="22" spans="1:7" ht="13.5" thickBot="1" x14ac:dyDescent="0.25">
      <c r="A22" s="115" t="s">
        <v>312</v>
      </c>
      <c r="B22" s="105">
        <f>ROUNDDOWN($B$9/5,0)+C22</f>
        <v>0</v>
      </c>
      <c r="C22" s="121">
        <v>0</v>
      </c>
      <c r="D22" s="110"/>
      <c r="E22" s="110"/>
      <c r="F22" s="110"/>
      <c r="G22" s="111"/>
    </row>
    <row r="23" spans="1:7" ht="13.5" thickBot="1" x14ac:dyDescent="0.25"/>
    <row r="24" spans="1:7" x14ac:dyDescent="0.2">
      <c r="A24" s="96"/>
      <c r="B24" s="97"/>
      <c r="C24" s="98"/>
      <c r="D24" s="98"/>
      <c r="E24" s="98"/>
      <c r="F24" s="98"/>
      <c r="G24" s="99"/>
    </row>
    <row r="25" spans="1:7" x14ac:dyDescent="0.2">
      <c r="A25" s="100" t="s">
        <v>438</v>
      </c>
      <c r="B25" s="101"/>
      <c r="C25" s="101" t="s">
        <v>213</v>
      </c>
      <c r="D25" s="101"/>
      <c r="E25" s="101"/>
      <c r="F25" s="101"/>
      <c r="G25" s="102"/>
    </row>
    <row r="26" spans="1:7" x14ac:dyDescent="0.2">
      <c r="A26" s="107" t="s">
        <v>241</v>
      </c>
      <c r="B26" s="463">
        <f>IF(DECKBLATT!$D$4="FA",DECKBLATT!$B$5,0)</f>
        <v>11</v>
      </c>
      <c r="C26" s="106"/>
      <c r="D26" s="101"/>
      <c r="E26" s="101"/>
      <c r="F26" s="101"/>
      <c r="G26" s="102"/>
    </row>
    <row r="27" spans="1:7" ht="25.5" x14ac:dyDescent="0.2">
      <c r="A27" s="119" t="s">
        <v>386</v>
      </c>
      <c r="B27" s="120" t="s">
        <v>415</v>
      </c>
      <c r="C27" s="101"/>
      <c r="D27" s="101"/>
      <c r="E27" s="101"/>
      <c r="F27" s="101"/>
      <c r="G27" s="102"/>
    </row>
    <row r="28" spans="1:7" x14ac:dyDescent="0.2">
      <c r="A28" s="119" t="s">
        <v>416</v>
      </c>
      <c r="B28" s="120" t="s">
        <v>415</v>
      </c>
      <c r="C28" s="101"/>
      <c r="D28" s="101"/>
      <c r="E28" s="101"/>
      <c r="F28" s="101"/>
      <c r="G28" s="102"/>
    </row>
    <row r="29" spans="1:7" x14ac:dyDescent="0.2">
      <c r="A29" s="119" t="s">
        <v>414</v>
      </c>
      <c r="B29" s="120" t="s">
        <v>415</v>
      </c>
      <c r="C29" s="101"/>
      <c r="D29" s="101"/>
      <c r="E29" s="101"/>
      <c r="F29" s="101"/>
      <c r="G29" s="102"/>
    </row>
    <row r="30" spans="1:7" x14ac:dyDescent="0.2">
      <c r="A30" s="103" t="s">
        <v>211</v>
      </c>
      <c r="B30" s="105">
        <f>IF($B$27="ja",$B$26*4,$B$26*1)+IF($B$29="ja",$B$26*1,$B$26*0)+B31</f>
        <v>11</v>
      </c>
      <c r="C30" s="116"/>
      <c r="D30" s="101"/>
      <c r="E30" s="101"/>
      <c r="F30" s="101"/>
      <c r="G30" s="102"/>
    </row>
    <row r="31" spans="1:7" ht="25.5" x14ac:dyDescent="0.2">
      <c r="A31" s="119" t="s">
        <v>309</v>
      </c>
      <c r="B31" s="117">
        <v>0</v>
      </c>
      <c r="D31" s="101"/>
      <c r="E31" s="101"/>
      <c r="F31" s="101"/>
      <c r="G31" s="102"/>
    </row>
    <row r="32" spans="1:7" x14ac:dyDescent="0.2">
      <c r="A32" s="103" t="s">
        <v>212</v>
      </c>
      <c r="B32" s="105">
        <f>IF($B$27="ja",0,$B$26*1)+C32+D32</f>
        <v>11</v>
      </c>
      <c r="C32" s="105">
        <f>IF($B$29="ja",$B$26*1,$B$26*0)</f>
        <v>0</v>
      </c>
      <c r="D32" s="717">
        <v>0</v>
      </c>
      <c r="E32" s="101"/>
      <c r="F32" s="101"/>
      <c r="G32" s="102"/>
    </row>
    <row r="33" spans="1:9" x14ac:dyDescent="0.2">
      <c r="A33" s="103" t="s">
        <v>218</v>
      </c>
      <c r="B33" s="105">
        <f>ROUNDUP($B$26/10,0)+C33</f>
        <v>2</v>
      </c>
      <c r="C33" s="117">
        <v>0</v>
      </c>
      <c r="D33" s="101"/>
      <c r="E33" s="101"/>
      <c r="F33" s="101"/>
      <c r="G33" s="102"/>
    </row>
    <row r="34" spans="1:9" x14ac:dyDescent="0.2">
      <c r="A34" s="103" t="s">
        <v>31</v>
      </c>
      <c r="B34" s="105">
        <f>IF($B$27="ja",$B$26*3,$B$26*1)+C34+D34</f>
        <v>11</v>
      </c>
      <c r="C34" s="117">
        <v>0</v>
      </c>
      <c r="D34" s="105">
        <f>IF($B$29="ja",$B$26*1,$B$26*0)</f>
        <v>0</v>
      </c>
      <c r="E34" s="101"/>
      <c r="F34" s="101"/>
      <c r="G34" s="102"/>
    </row>
    <row r="35" spans="1:9" x14ac:dyDescent="0.2">
      <c r="A35" s="103" t="s">
        <v>310</v>
      </c>
      <c r="B35" s="643">
        <f>IF($B$27="ja",$B$26*2,$B$26*1)+IF($B$29="ja",$B$26*1,$B$26*0)+B36+C35</f>
        <v>11</v>
      </c>
      <c r="C35" s="104"/>
      <c r="D35" s="101"/>
      <c r="E35" s="101"/>
      <c r="F35" s="101"/>
      <c r="G35" s="102"/>
    </row>
    <row r="36" spans="1:9" x14ac:dyDescent="0.2">
      <c r="A36" s="103" t="s">
        <v>354</v>
      </c>
      <c r="B36" s="117">
        <v>0</v>
      </c>
      <c r="C36" s="153"/>
      <c r="D36" s="101"/>
      <c r="E36" s="101"/>
      <c r="F36" s="101"/>
      <c r="G36" s="102"/>
    </row>
    <row r="37" spans="1:9" x14ac:dyDescent="0.2">
      <c r="A37" s="107" t="s">
        <v>311</v>
      </c>
      <c r="B37" s="643">
        <f>IF($B$27="ja",$B$26*4,0)</f>
        <v>0</v>
      </c>
      <c r="C37" s="117">
        <v>0</v>
      </c>
      <c r="D37" s="101"/>
      <c r="E37" s="101"/>
      <c r="F37" s="101"/>
      <c r="G37" s="102"/>
    </row>
    <row r="38" spans="1:9" x14ac:dyDescent="0.2">
      <c r="A38" s="103" t="s">
        <v>36</v>
      </c>
      <c r="B38" s="117">
        <v>0</v>
      </c>
      <c r="C38" s="117">
        <v>0</v>
      </c>
      <c r="D38" s="101"/>
      <c r="E38" s="101"/>
      <c r="F38" s="101"/>
      <c r="G38" s="102"/>
      <c r="I38" s="1"/>
    </row>
    <row r="39" spans="1:9" x14ac:dyDescent="0.2">
      <c r="A39" s="103" t="s">
        <v>103</v>
      </c>
      <c r="B39" s="643">
        <f>IF(B27="ja",$B$26*2,B26*0)+C39</f>
        <v>0</v>
      </c>
      <c r="C39" s="105">
        <f>IF($B$28="ja",$B$26*2,$B$26*0)</f>
        <v>0</v>
      </c>
      <c r="D39" s="101"/>
      <c r="E39" s="101"/>
      <c r="F39" s="101"/>
      <c r="G39" s="102"/>
    </row>
    <row r="40" spans="1:9" ht="15.75" x14ac:dyDescent="0.25">
      <c r="A40" s="688" t="s">
        <v>419</v>
      </c>
      <c r="B40" s="689">
        <f>IF(B27="ja",$B$26*8,0)</f>
        <v>0</v>
      </c>
      <c r="C40" s="689"/>
      <c r="D40" s="101"/>
      <c r="E40" s="101"/>
      <c r="F40" s="101"/>
      <c r="G40" s="102"/>
    </row>
    <row r="41" spans="1:9" x14ac:dyDescent="0.2">
      <c r="A41" s="107" t="s">
        <v>357</v>
      </c>
      <c r="B41" s="105">
        <f>ROUNDUP($B$26/10,0)+C41</f>
        <v>2</v>
      </c>
      <c r="C41" s="117">
        <v>0</v>
      </c>
      <c r="D41" s="101"/>
      <c r="E41" s="101"/>
      <c r="F41" s="101"/>
      <c r="G41" s="102"/>
    </row>
    <row r="42" spans="1:9" x14ac:dyDescent="0.2">
      <c r="A42" s="107" t="s">
        <v>242</v>
      </c>
      <c r="B42" s="105">
        <f>ROUNDUP($B$26/10,0)+C42</f>
        <v>2</v>
      </c>
      <c r="C42" s="117">
        <v>0</v>
      </c>
      <c r="D42" s="101"/>
      <c r="E42" s="101"/>
      <c r="F42" s="101"/>
      <c r="G42" s="102"/>
    </row>
    <row r="43" spans="1:9" ht="13.5" thickBot="1" x14ac:dyDescent="0.25">
      <c r="A43" s="115" t="s">
        <v>312</v>
      </c>
      <c r="B43" s="109">
        <f>ROUNDUP($B$26/10,0)+C43</f>
        <v>2</v>
      </c>
      <c r="C43" s="117">
        <v>0</v>
      </c>
      <c r="D43" s="110"/>
      <c r="E43" s="110"/>
      <c r="F43" s="110"/>
      <c r="G43" s="111"/>
    </row>
    <row r="44" spans="1:9" ht="13.5" thickBot="1" x14ac:dyDescent="0.25"/>
    <row r="45" spans="1:9" ht="30" x14ac:dyDescent="0.25">
      <c r="A45" s="122" t="s">
        <v>408</v>
      </c>
      <c r="B45" s="98"/>
      <c r="C45" s="98"/>
      <c r="D45" s="98"/>
      <c r="E45" s="98"/>
      <c r="F45" s="98"/>
      <c r="G45" s="99"/>
    </row>
    <row r="46" spans="1:9" x14ac:dyDescent="0.2">
      <c r="A46" s="103" t="s">
        <v>210</v>
      </c>
      <c r="B46" s="125">
        <f>DECKBLATT!B7+C46</f>
        <v>1</v>
      </c>
      <c r="C46" s="117">
        <v>0</v>
      </c>
      <c r="D46" s="101"/>
      <c r="E46" s="101"/>
      <c r="F46" s="101"/>
      <c r="G46" s="113">
        <v>0</v>
      </c>
    </row>
    <row r="47" spans="1:9" ht="12" customHeight="1" x14ac:dyDescent="0.2">
      <c r="A47" s="103" t="s">
        <v>224</v>
      </c>
      <c r="B47" s="553">
        <f>DECKBLATT!D7+DECKBLATT!F7</f>
        <v>4</v>
      </c>
      <c r="C47" s="153"/>
      <c r="D47" s="101"/>
      <c r="E47" s="101"/>
      <c r="F47" s="101"/>
      <c r="G47" s="539"/>
    </row>
    <row r="48" spans="1:9" x14ac:dyDescent="0.2">
      <c r="A48" s="119" t="s">
        <v>417</v>
      </c>
      <c r="B48" s="120" t="s">
        <v>415</v>
      </c>
      <c r="C48" s="101"/>
      <c r="D48" s="101"/>
      <c r="E48" s="101"/>
      <c r="F48" s="101"/>
      <c r="G48" s="102"/>
    </row>
    <row r="49" spans="1:7" x14ac:dyDescent="0.2">
      <c r="A49" s="119" t="s">
        <v>454</v>
      </c>
      <c r="B49" s="120" t="s">
        <v>415</v>
      </c>
      <c r="C49" s="101"/>
      <c r="D49" s="101"/>
      <c r="E49" s="101"/>
      <c r="F49" s="101"/>
      <c r="G49" s="102"/>
    </row>
    <row r="50" spans="1:7" x14ac:dyDescent="0.2">
      <c r="A50" s="103" t="str">
        <f>$A$30</f>
        <v>Sensor optisch Traverse</v>
      </c>
      <c r="B50" s="725">
        <f>IF(B49="ja",B46*(B47*1)+(B46*5)+(B56*2),B46*(B47*1)+(B46*7)+(B56*2))+C50</f>
        <v>11</v>
      </c>
      <c r="C50" s="117">
        <v>0</v>
      </c>
      <c r="D50" s="101"/>
      <c r="E50" s="101"/>
      <c r="F50" s="101"/>
      <c r="G50" s="114">
        <f>G46*(G47*2)+G46</f>
        <v>0</v>
      </c>
    </row>
    <row r="51" spans="1:7" x14ac:dyDescent="0.2">
      <c r="A51" s="103" t="str">
        <f ca="1">$A$51</f>
        <v>Sensor induktiv Spulenhalter</v>
      </c>
      <c r="B51" s="105">
        <f>B46*2+C51</f>
        <v>2</v>
      </c>
      <c r="C51" s="117">
        <v>0</v>
      </c>
      <c r="D51" s="101"/>
      <c r="E51" s="101"/>
      <c r="F51" s="101"/>
      <c r="G51" s="114">
        <f>G46</f>
        <v>0</v>
      </c>
    </row>
    <row r="52" spans="1:7" x14ac:dyDescent="0.2">
      <c r="A52" s="103" t="s">
        <v>218</v>
      </c>
      <c r="B52" s="105">
        <f>B46+C52</f>
        <v>1</v>
      </c>
      <c r="C52" s="117">
        <v>0</v>
      </c>
      <c r="D52" s="101"/>
      <c r="E52" s="101"/>
      <c r="F52" s="101"/>
      <c r="G52" s="114">
        <f>G46</f>
        <v>0</v>
      </c>
    </row>
    <row r="53" spans="1:7" x14ac:dyDescent="0.2">
      <c r="A53" s="107" t="s">
        <v>226</v>
      </c>
      <c r="B53" s="105">
        <f>B46+C53</f>
        <v>1</v>
      </c>
      <c r="C53" s="117">
        <v>0</v>
      </c>
      <c r="D53" s="101"/>
      <c r="E53" s="101"/>
      <c r="F53" s="101"/>
      <c r="G53" s="114">
        <f>G46</f>
        <v>0</v>
      </c>
    </row>
    <row r="54" spans="1:7" x14ac:dyDescent="0.2">
      <c r="A54" s="103" t="s">
        <v>31</v>
      </c>
      <c r="B54" s="655">
        <f>(B46*B47)+C54+B57</f>
        <v>4</v>
      </c>
      <c r="C54" s="216">
        <v>0</v>
      </c>
      <c r="D54" s="101"/>
      <c r="E54" s="101"/>
      <c r="F54" s="101"/>
      <c r="G54" s="114">
        <f>G46*(G47-1)</f>
        <v>0</v>
      </c>
    </row>
    <row r="55" spans="1:7" x14ac:dyDescent="0.2">
      <c r="A55" s="103" t="s">
        <v>451</v>
      </c>
      <c r="B55" s="105">
        <f>IF($B$48="ja",$B$46*1,0)+C55</f>
        <v>0</v>
      </c>
      <c r="C55" s="216">
        <v>0</v>
      </c>
      <c r="D55" s="101"/>
      <c r="E55" s="101"/>
      <c r="F55" s="101"/>
      <c r="G55" s="114">
        <f>(G47-1)*G45</f>
        <v>0</v>
      </c>
    </row>
    <row r="56" spans="1:7" x14ac:dyDescent="0.2">
      <c r="A56" s="103" t="s">
        <v>248</v>
      </c>
      <c r="B56" s="653" t="s">
        <v>406</v>
      </c>
      <c r="C56" s="153"/>
      <c r="D56" s="101"/>
      <c r="E56" s="101"/>
      <c r="F56" s="101"/>
      <c r="G56" s="114"/>
    </row>
    <row r="57" spans="1:7" x14ac:dyDescent="0.2">
      <c r="A57" s="107" t="s">
        <v>405</v>
      </c>
      <c r="B57" s="653" t="s">
        <v>406</v>
      </c>
      <c r="C57" s="153"/>
      <c r="D57" s="101"/>
      <c r="E57" s="101"/>
      <c r="F57" s="101"/>
      <c r="G57" s="114"/>
    </row>
    <row r="58" spans="1:7" x14ac:dyDescent="0.2">
      <c r="A58" s="107" t="s">
        <v>87</v>
      </c>
      <c r="B58" s="117">
        <v>0</v>
      </c>
      <c r="C58" s="117">
        <v>0</v>
      </c>
      <c r="D58" s="101"/>
      <c r="E58" s="101"/>
      <c r="F58" s="101"/>
      <c r="G58" s="114"/>
    </row>
    <row r="59" spans="1:7" x14ac:dyDescent="0.2">
      <c r="A59" s="107" t="str">
        <f>A172</f>
        <v>RA uni</v>
      </c>
      <c r="B59" s="788" t="s">
        <v>406</v>
      </c>
      <c r="C59" s="117"/>
      <c r="D59" s="101"/>
      <c r="E59" s="101"/>
      <c r="F59" s="101"/>
      <c r="G59" s="114"/>
    </row>
    <row r="60" spans="1:7" x14ac:dyDescent="0.2">
      <c r="A60" s="107" t="str">
        <f>A173</f>
        <v>RA uni abhebbar</v>
      </c>
      <c r="B60" s="789">
        <f>IF($B$48="ja",$B$46*1,0)+IF($B$49="NEIN",$B$46*1,0)+C60</f>
        <v>1</v>
      </c>
      <c r="C60" s="117">
        <v>0</v>
      </c>
      <c r="D60" s="101"/>
      <c r="E60" s="101"/>
      <c r="F60" s="101"/>
      <c r="G60" s="114"/>
    </row>
    <row r="61" spans="1:7" x14ac:dyDescent="0.2">
      <c r="A61" s="107" t="str">
        <f>A174</f>
        <v>RA uni ohne SPS-Ansteuerung</v>
      </c>
      <c r="B61" s="789">
        <f>IF($B$48="ja",$B$46*1,0+C61)</f>
        <v>0</v>
      </c>
      <c r="C61" s="117">
        <v>0</v>
      </c>
      <c r="D61" s="101"/>
      <c r="E61" s="101"/>
      <c r="F61" s="101"/>
      <c r="G61" s="114"/>
    </row>
    <row r="62" spans="1:7" x14ac:dyDescent="0.2">
      <c r="A62" s="107" t="s">
        <v>402</v>
      </c>
      <c r="B62" s="789">
        <f>IF($B$48="ja",$B$46*1,C61)</f>
        <v>0</v>
      </c>
      <c r="C62" s="724">
        <v>0</v>
      </c>
      <c r="D62" s="101"/>
      <c r="E62" s="101"/>
      <c r="F62" s="101"/>
      <c r="G62" s="114"/>
    </row>
    <row r="63" spans="1:7" x14ac:dyDescent="0.2">
      <c r="A63" s="107" t="s">
        <v>310</v>
      </c>
      <c r="B63" s="806">
        <v>0</v>
      </c>
      <c r="C63" s="724">
        <v>0</v>
      </c>
      <c r="D63" s="101"/>
      <c r="E63" s="101"/>
      <c r="F63" s="101"/>
      <c r="G63" s="114"/>
    </row>
    <row r="64" spans="1:7" x14ac:dyDescent="0.2">
      <c r="A64" s="107" t="s">
        <v>311</v>
      </c>
      <c r="B64" s="789">
        <f>IF($B$48="nein",$B$46*1,0+C64)</f>
        <v>1</v>
      </c>
      <c r="C64" s="724">
        <v>0</v>
      </c>
      <c r="D64" s="101"/>
      <c r="E64" s="101"/>
      <c r="F64" s="101"/>
      <c r="G64" s="114">
        <f>G46</f>
        <v>0</v>
      </c>
    </row>
    <row r="65" spans="1:7" x14ac:dyDescent="0.2">
      <c r="A65" s="103" t="s">
        <v>96</v>
      </c>
      <c r="B65" s="540">
        <f>ROUNDDOWN($B$47/2,0)*B46+C65</f>
        <v>2</v>
      </c>
      <c r="C65" s="125">
        <f>IF($B$48="ja",$B$46*1,0+D65)</f>
        <v>0</v>
      </c>
      <c r="D65" s="101">
        <v>0</v>
      </c>
      <c r="E65" s="101"/>
      <c r="F65" s="101"/>
      <c r="G65" s="114">
        <f>G46*ROUNDDOWN(G47/2,0)</f>
        <v>0</v>
      </c>
    </row>
    <row r="66" spans="1:7" x14ac:dyDescent="0.2">
      <c r="A66" s="103" t="s">
        <v>240</v>
      </c>
      <c r="B66" s="790">
        <f>MOD(DECKBLATT!D7,2)+MOD(DECKBLATT!F7,2)</f>
        <v>0</v>
      </c>
      <c r="C66" s="153"/>
      <c r="D66" s="787">
        <f>SUM(B59:B66)</f>
        <v>4</v>
      </c>
      <c r="E66" s="101"/>
      <c r="F66" s="101"/>
      <c r="G66" s="113">
        <v>0</v>
      </c>
    </row>
    <row r="67" spans="1:7" x14ac:dyDescent="0.2">
      <c r="A67" s="107" t="s">
        <v>357</v>
      </c>
      <c r="B67" s="105">
        <f>$B$46+C67</f>
        <v>1</v>
      </c>
      <c r="C67" s="117">
        <v>0</v>
      </c>
      <c r="D67" s="101"/>
      <c r="E67" s="101"/>
      <c r="F67" s="101"/>
      <c r="G67" s="102"/>
    </row>
    <row r="68" spans="1:7" x14ac:dyDescent="0.2">
      <c r="A68" s="107" t="s">
        <v>242</v>
      </c>
      <c r="B68" s="105">
        <f>$B$46+C68</f>
        <v>1</v>
      </c>
      <c r="C68" s="117">
        <v>0</v>
      </c>
      <c r="D68" s="101"/>
      <c r="E68" s="101"/>
      <c r="F68" s="101"/>
      <c r="G68" s="102"/>
    </row>
    <row r="69" spans="1:7" ht="13.5" thickBot="1" x14ac:dyDescent="0.25">
      <c r="A69" s="115" t="str">
        <f>$A$43</f>
        <v>Werma Rundumleuchte "Störung"</v>
      </c>
      <c r="B69" s="109">
        <f>$B46+C69</f>
        <v>1</v>
      </c>
      <c r="C69" s="117">
        <v>0</v>
      </c>
      <c r="D69" s="110"/>
      <c r="E69" s="110"/>
      <c r="F69" s="110"/>
      <c r="G69" s="111"/>
    </row>
    <row r="70" spans="1:7" ht="13.5" thickBot="1" x14ac:dyDescent="0.25"/>
    <row r="71" spans="1:7" ht="15" x14ac:dyDescent="0.25">
      <c r="A71" s="112" t="s">
        <v>215</v>
      </c>
      <c r="B71" s="98"/>
      <c r="C71" s="98" t="s">
        <v>365</v>
      </c>
      <c r="D71" s="98"/>
      <c r="E71" s="98"/>
      <c r="F71" s="98"/>
      <c r="G71" s="99"/>
    </row>
    <row r="72" spans="1:7" x14ac:dyDescent="0.2">
      <c r="A72" s="103" t="s">
        <v>210</v>
      </c>
      <c r="B72" s="125">
        <f>DECKBLATT!B8</f>
        <v>0</v>
      </c>
      <c r="C72" s="101"/>
      <c r="D72" s="101"/>
      <c r="E72" s="101"/>
      <c r="F72" s="101"/>
      <c r="G72" s="118">
        <v>0</v>
      </c>
    </row>
    <row r="73" spans="1:7" x14ac:dyDescent="0.2">
      <c r="A73" s="103" t="s">
        <v>216</v>
      </c>
      <c r="B73" s="125">
        <f>DECKBLATT!D8</f>
        <v>0</v>
      </c>
      <c r="C73" s="106"/>
      <c r="D73" s="101"/>
      <c r="E73" s="101"/>
      <c r="F73" s="101"/>
      <c r="G73" s="118">
        <v>0</v>
      </c>
    </row>
    <row r="74" spans="1:7" x14ac:dyDescent="0.2">
      <c r="A74" s="103" t="s">
        <v>217</v>
      </c>
      <c r="B74" s="125">
        <f>DECKBLATT!F8</f>
        <v>0</v>
      </c>
      <c r="C74" s="101"/>
      <c r="D74" s="101"/>
      <c r="E74" s="101"/>
      <c r="F74" s="101"/>
      <c r="G74" s="118">
        <v>0</v>
      </c>
    </row>
    <row r="75" spans="1:7" x14ac:dyDescent="0.2">
      <c r="A75" s="103" t="str">
        <f>$A$30</f>
        <v>Sensor optisch Traverse</v>
      </c>
      <c r="B75" s="105">
        <f>B72*B73+B72*B74+B72*3+C75</f>
        <v>0</v>
      </c>
      <c r="C75" s="117">
        <v>0</v>
      </c>
      <c r="D75" s="101"/>
      <c r="E75" s="101"/>
      <c r="F75" s="101"/>
      <c r="G75" s="114">
        <f>G72*G73+G72*G74+G72*2</f>
        <v>0</v>
      </c>
    </row>
    <row r="76" spans="1:7" x14ac:dyDescent="0.2">
      <c r="A76" s="103" t="s">
        <v>286</v>
      </c>
      <c r="B76" s="105">
        <f>B72*4</f>
        <v>0</v>
      </c>
      <c r="C76" s="101"/>
      <c r="D76" s="101"/>
      <c r="E76" s="101"/>
      <c r="F76" s="101"/>
      <c r="G76" s="114">
        <f>G72*4</f>
        <v>0</v>
      </c>
    </row>
    <row r="77" spans="1:7" ht="25.5" x14ac:dyDescent="0.2">
      <c r="A77" s="799" t="s">
        <v>431</v>
      </c>
      <c r="B77" s="795">
        <f>B72*2</f>
        <v>0</v>
      </c>
      <c r="C77" s="796"/>
      <c r="D77" s="797"/>
      <c r="E77" s="797"/>
      <c r="F77" s="797"/>
      <c r="G77" s="798"/>
    </row>
    <row r="78" spans="1:7" x14ac:dyDescent="0.2">
      <c r="A78" s="103" t="s">
        <v>218</v>
      </c>
      <c r="B78" s="105">
        <f>Mengengerüst!B72+Mengengerüst!G72</f>
        <v>0</v>
      </c>
      <c r="C78" s="101"/>
      <c r="D78" s="104"/>
      <c r="E78" s="101" t="s">
        <v>229</v>
      </c>
      <c r="F78" s="101"/>
      <c r="G78" s="114">
        <f>G72</f>
        <v>0</v>
      </c>
    </row>
    <row r="79" spans="1:7" x14ac:dyDescent="0.2">
      <c r="A79" s="103" t="s">
        <v>219</v>
      </c>
      <c r="B79" s="105">
        <f>B72</f>
        <v>0</v>
      </c>
      <c r="C79" s="101"/>
      <c r="D79" s="105"/>
      <c r="E79" s="101" t="s">
        <v>230</v>
      </c>
      <c r="F79" s="101"/>
      <c r="G79" s="114">
        <f>G72</f>
        <v>0</v>
      </c>
    </row>
    <row r="80" spans="1:7" x14ac:dyDescent="0.2">
      <c r="A80" s="103" t="s">
        <v>31</v>
      </c>
      <c r="B80" s="105">
        <f>(B72*B73)+C80</f>
        <v>0</v>
      </c>
      <c r="C80" s="117">
        <v>0</v>
      </c>
      <c r="D80" s="101"/>
      <c r="E80" s="101"/>
      <c r="F80" s="101"/>
      <c r="G80" s="114">
        <f>(G72*G73)-G72</f>
        <v>0</v>
      </c>
    </row>
    <row r="81" spans="1:7" x14ac:dyDescent="0.2">
      <c r="A81" s="103" t="s">
        <v>220</v>
      </c>
      <c r="B81" s="105">
        <f>(B74-1)*B72</f>
        <v>0</v>
      </c>
      <c r="C81" s="101"/>
      <c r="D81" s="101"/>
      <c r="E81" s="101"/>
      <c r="F81" s="101"/>
      <c r="G81" s="114">
        <f>(G74-1)*G72</f>
        <v>0</v>
      </c>
    </row>
    <row r="82" spans="1:7" x14ac:dyDescent="0.2">
      <c r="A82" s="103" t="s">
        <v>221</v>
      </c>
      <c r="B82" s="105">
        <f>B72+C82</f>
        <v>0</v>
      </c>
      <c r="C82" s="117">
        <v>0</v>
      </c>
      <c r="D82" s="101"/>
      <c r="E82" s="101"/>
      <c r="F82" s="101"/>
      <c r="G82" s="114">
        <f>G72</f>
        <v>0</v>
      </c>
    </row>
    <row r="83" spans="1:7" x14ac:dyDescent="0.2">
      <c r="A83" s="103" t="s">
        <v>239</v>
      </c>
      <c r="B83" s="105">
        <f>B72</f>
        <v>0</v>
      </c>
      <c r="C83" s="101"/>
      <c r="D83" s="101"/>
      <c r="E83" s="101"/>
      <c r="F83" s="101"/>
      <c r="G83" s="114">
        <f>G72</f>
        <v>0</v>
      </c>
    </row>
    <row r="84" spans="1:7" x14ac:dyDescent="0.2">
      <c r="A84" s="107" t="s">
        <v>278</v>
      </c>
      <c r="B84" s="105">
        <f>$B$72*(ROUNDDOWN($B$73/3,0)+ROUNDDOWN($B$74/3,0))</f>
        <v>0</v>
      </c>
      <c r="C84" s="101"/>
      <c r="D84" s="101"/>
      <c r="E84" s="101"/>
      <c r="F84" s="101"/>
      <c r="G84" s="118">
        <v>0</v>
      </c>
    </row>
    <row r="85" spans="1:7" x14ac:dyDescent="0.2">
      <c r="A85" s="103" t="s">
        <v>96</v>
      </c>
      <c r="B85" s="105">
        <f>$B$72*(ROUNDDOWN($B$73/2,0)+ROUNDDOWN($B$74/2,0))</f>
        <v>0</v>
      </c>
      <c r="C85" s="101"/>
      <c r="D85" s="101"/>
      <c r="E85" s="101"/>
      <c r="F85" s="101"/>
      <c r="G85" s="114">
        <f>G72*(ROUNDDOWN(G73/2,0)+ROUNDDOWN(G74/2,0))</f>
        <v>0</v>
      </c>
    </row>
    <row r="86" spans="1:7" x14ac:dyDescent="0.2">
      <c r="A86" s="107" t="s">
        <v>357</v>
      </c>
      <c r="B86" s="105">
        <f>$B$72+C86</f>
        <v>0</v>
      </c>
      <c r="C86" s="117">
        <v>0</v>
      </c>
      <c r="D86" s="101"/>
      <c r="E86" s="101"/>
      <c r="F86" s="101"/>
      <c r="G86" s="102"/>
    </row>
    <row r="87" spans="1:7" x14ac:dyDescent="0.2">
      <c r="A87" s="107" t="s">
        <v>242</v>
      </c>
      <c r="B87" s="105">
        <f>$B$72+C87</f>
        <v>0</v>
      </c>
      <c r="C87" s="117">
        <v>0</v>
      </c>
      <c r="D87" s="101"/>
      <c r="E87" s="101"/>
      <c r="F87" s="101"/>
      <c r="G87" s="102"/>
    </row>
    <row r="88" spans="1:7" ht="13.5" thickBot="1" x14ac:dyDescent="0.25">
      <c r="A88" s="115" t="str">
        <f>$A$43</f>
        <v>Werma Rundumleuchte "Störung"</v>
      </c>
      <c r="B88" s="109">
        <f>$B72+C88</f>
        <v>0</v>
      </c>
      <c r="C88" s="121"/>
      <c r="D88" s="110"/>
      <c r="E88" s="110"/>
      <c r="F88" s="110"/>
      <c r="G88" s="111"/>
    </row>
    <row r="89" spans="1:7" ht="13.5" thickBot="1" x14ac:dyDescent="0.25"/>
    <row r="90" spans="1:7" ht="15" x14ac:dyDescent="0.25">
      <c r="A90" s="112" t="s">
        <v>282</v>
      </c>
      <c r="B90" s="214"/>
      <c r="C90" s="214"/>
      <c r="D90" s="214"/>
      <c r="E90" s="214"/>
      <c r="F90" s="214"/>
      <c r="G90" s="215"/>
    </row>
    <row r="91" spans="1:7" x14ac:dyDescent="0.2">
      <c r="A91" s="107" t="s">
        <v>210</v>
      </c>
      <c r="B91" s="535">
        <f>DECKBLATT!B6</f>
        <v>0</v>
      </c>
      <c r="C91" s="106"/>
      <c r="D91" s="106"/>
      <c r="E91" s="106"/>
      <c r="F91" s="106"/>
      <c r="G91" s="217">
        <v>0</v>
      </c>
    </row>
    <row r="92" spans="1:7" x14ac:dyDescent="0.2">
      <c r="A92" s="107" t="s">
        <v>224</v>
      </c>
      <c r="B92" s="535">
        <f>DECKBLATT!D6</f>
        <v>2</v>
      </c>
      <c r="C92" s="106"/>
      <c r="D92" s="106"/>
      <c r="E92" s="106"/>
      <c r="F92" s="106"/>
      <c r="G92" s="217">
        <v>0</v>
      </c>
    </row>
    <row r="93" spans="1:7" x14ac:dyDescent="0.2">
      <c r="A93" s="103" t="str">
        <f>$A$30</f>
        <v>Sensor optisch Traverse</v>
      </c>
      <c r="B93" s="218">
        <f>B91*(B92*2)+B91*3+C93</f>
        <v>0</v>
      </c>
      <c r="C93" s="216">
        <v>0</v>
      </c>
      <c r="D93" s="106"/>
      <c r="E93" s="106"/>
      <c r="F93" s="106"/>
      <c r="G93" s="219">
        <f>G91*(G92*2)+G91</f>
        <v>0</v>
      </c>
    </row>
    <row r="94" spans="1:7" x14ac:dyDescent="0.2">
      <c r="A94" s="103" t="str">
        <f ca="1">$A$51</f>
        <v>Sensor induktiv Spulenalter (Zug positionierung)</v>
      </c>
      <c r="B94" s="218">
        <f>B91</f>
        <v>0</v>
      </c>
      <c r="C94" s="106"/>
      <c r="D94" s="106"/>
      <c r="E94" s="106"/>
      <c r="F94" s="106"/>
      <c r="G94" s="219">
        <f>G91</f>
        <v>0</v>
      </c>
    </row>
    <row r="95" spans="1:7" x14ac:dyDescent="0.2">
      <c r="A95" s="107" t="s">
        <v>218</v>
      </c>
      <c r="B95" s="218">
        <f>B91</f>
        <v>0</v>
      </c>
      <c r="C95" s="106"/>
      <c r="D95" s="106"/>
      <c r="E95" s="106"/>
      <c r="F95" s="106"/>
      <c r="G95" s="219">
        <f>G91</f>
        <v>0</v>
      </c>
    </row>
    <row r="96" spans="1:7" x14ac:dyDescent="0.2">
      <c r="A96" s="107" t="s">
        <v>226</v>
      </c>
      <c r="B96" s="218">
        <f>B91</f>
        <v>0</v>
      </c>
      <c r="C96" s="106"/>
      <c r="D96" s="106"/>
      <c r="E96" s="106"/>
      <c r="F96" s="106"/>
      <c r="G96" s="219">
        <f>G91</f>
        <v>0</v>
      </c>
    </row>
    <row r="97" spans="1:8" x14ac:dyDescent="0.2">
      <c r="A97" s="107" t="s">
        <v>31</v>
      </c>
      <c r="B97" s="218">
        <f>B91*(B92)+C97</f>
        <v>0</v>
      </c>
      <c r="C97" s="638">
        <v>0</v>
      </c>
      <c r="D97" s="106"/>
      <c r="E97" s="106"/>
      <c r="F97" s="106"/>
      <c r="G97" s="219">
        <f>G91*(G92-1)</f>
        <v>0</v>
      </c>
    </row>
    <row r="98" spans="1:8" x14ac:dyDescent="0.2">
      <c r="A98" s="103" t="s">
        <v>451</v>
      </c>
      <c r="B98" s="105">
        <f>B91*1</f>
        <v>0</v>
      </c>
      <c r="C98" s="216">
        <v>0</v>
      </c>
      <c r="D98" s="101"/>
      <c r="E98" s="101"/>
      <c r="F98" s="101"/>
      <c r="G98" s="114">
        <f>(G90-1)*G88</f>
        <v>0</v>
      </c>
    </row>
    <row r="99" spans="1:8" x14ac:dyDescent="0.2">
      <c r="A99" s="107" t="s">
        <v>248</v>
      </c>
      <c r="B99" s="638">
        <v>0</v>
      </c>
      <c r="C99" s="644"/>
      <c r="D99" s="106"/>
      <c r="E99" s="106"/>
      <c r="F99" s="106"/>
      <c r="G99" s="219">
        <f>G92*(G93-1)</f>
        <v>0</v>
      </c>
    </row>
    <row r="100" spans="1:8" x14ac:dyDescent="0.2">
      <c r="A100" s="107" t="s">
        <v>405</v>
      </c>
      <c r="B100" s="801">
        <f>B91*1+C100</f>
        <v>0</v>
      </c>
      <c r="C100" s="216">
        <v>0</v>
      </c>
      <c r="D100" s="101"/>
      <c r="E100" s="101"/>
      <c r="F100" s="101"/>
      <c r="G100" s="114"/>
    </row>
    <row r="101" spans="1:8" x14ac:dyDescent="0.2">
      <c r="A101" s="107" t="s">
        <v>227</v>
      </c>
      <c r="B101" s="218">
        <f>B91</f>
        <v>0</v>
      </c>
      <c r="C101" s="644"/>
      <c r="D101" s="106"/>
      <c r="E101" s="106"/>
      <c r="F101" s="106"/>
      <c r="G101" s="219">
        <f>G91</f>
        <v>0</v>
      </c>
    </row>
    <row r="102" spans="1:8" x14ac:dyDescent="0.2">
      <c r="A102" s="107" t="s">
        <v>222</v>
      </c>
      <c r="B102" s="218">
        <f>B91+B105+C102</f>
        <v>0</v>
      </c>
      <c r="C102" s="638">
        <v>0</v>
      </c>
      <c r="D102" s="106"/>
      <c r="E102" s="106"/>
      <c r="F102" s="106"/>
      <c r="G102" s="219">
        <f>G91</f>
        <v>0</v>
      </c>
    </row>
    <row r="103" spans="1:8" x14ac:dyDescent="0.2">
      <c r="A103" s="107" t="s">
        <v>233</v>
      </c>
      <c r="B103" s="640">
        <v>3</v>
      </c>
      <c r="C103" s="638">
        <v>0</v>
      </c>
      <c r="D103" s="106"/>
      <c r="E103" s="106"/>
      <c r="F103" s="106"/>
      <c r="G103" s="219"/>
    </row>
    <row r="104" spans="1:8" x14ac:dyDescent="0.2">
      <c r="A104" s="107" t="s">
        <v>96</v>
      </c>
      <c r="B104" s="218">
        <f>B91*ROUNDDOWN(B92/2,0)</f>
        <v>0</v>
      </c>
      <c r="C104" s="106"/>
      <c r="D104" s="106"/>
      <c r="E104" s="106"/>
      <c r="F104" s="106"/>
      <c r="G104" s="219">
        <f>G91*ROUNDDOWN(G92/2,0)</f>
        <v>0</v>
      </c>
    </row>
    <row r="105" spans="1:8" x14ac:dyDescent="0.2">
      <c r="A105" s="107" t="s">
        <v>240</v>
      </c>
      <c r="B105" s="216">
        <v>0</v>
      </c>
      <c r="C105" s="106"/>
      <c r="D105" s="106"/>
      <c r="E105" s="106"/>
      <c r="F105" s="106"/>
      <c r="G105" s="217">
        <v>0</v>
      </c>
    </row>
    <row r="106" spans="1:8" x14ac:dyDescent="0.2">
      <c r="A106" s="107" t="s">
        <v>357</v>
      </c>
      <c r="B106" s="105">
        <f>$B$91+C106</f>
        <v>0</v>
      </c>
      <c r="C106" s="104">
        <v>0</v>
      </c>
      <c r="D106" s="101"/>
      <c r="E106" s="101"/>
      <c r="F106" s="101"/>
      <c r="G106" s="102"/>
    </row>
    <row r="107" spans="1:8" x14ac:dyDescent="0.2">
      <c r="A107" s="107" t="s">
        <v>242</v>
      </c>
      <c r="B107" s="105">
        <f>$B$91+C107</f>
        <v>0</v>
      </c>
      <c r="C107" s="104">
        <v>0</v>
      </c>
      <c r="D107" s="101"/>
      <c r="E107" s="101"/>
      <c r="F107" s="101"/>
      <c r="G107" s="102"/>
    </row>
    <row r="108" spans="1:8" ht="13.5" thickBot="1" x14ac:dyDescent="0.25">
      <c r="A108" s="115" t="str">
        <f>$A$43</f>
        <v>Werma Rundumleuchte "Störung"</v>
      </c>
      <c r="B108" s="109">
        <f>$B91+C108</f>
        <v>0</v>
      </c>
      <c r="C108" s="637">
        <v>0</v>
      </c>
      <c r="D108" s="110"/>
      <c r="E108" s="110"/>
      <c r="F108" s="110"/>
      <c r="G108" s="111"/>
    </row>
    <row r="110" spans="1:8" ht="13.5" thickBot="1" x14ac:dyDescent="0.25"/>
    <row r="111" spans="1:8" x14ac:dyDescent="0.2">
      <c r="A111" s="96" t="s">
        <v>409</v>
      </c>
      <c r="B111" s="98"/>
      <c r="C111" s="98"/>
      <c r="D111" s="98"/>
      <c r="E111" s="98"/>
      <c r="F111" s="98"/>
      <c r="G111" s="99"/>
      <c r="H111" s="101"/>
    </row>
    <row r="112" spans="1:8" x14ac:dyDescent="0.2">
      <c r="A112" s="103" t="str">
        <f>$A$30</f>
        <v>Sensor optisch Traverse</v>
      </c>
      <c r="B112" s="117">
        <v>0</v>
      </c>
      <c r="C112" s="101"/>
      <c r="D112" s="101"/>
      <c r="E112" s="101"/>
      <c r="F112" s="101"/>
      <c r="G112" s="102"/>
      <c r="H112" s="101"/>
    </row>
    <row r="113" spans="1:8" x14ac:dyDescent="0.2">
      <c r="A113" s="103" t="s">
        <v>212</v>
      </c>
      <c r="B113" s="117">
        <v>0</v>
      </c>
      <c r="C113" s="101"/>
      <c r="D113" s="101"/>
      <c r="E113" s="101"/>
      <c r="F113" s="101"/>
      <c r="G113" s="102"/>
      <c r="H113" s="101"/>
    </row>
    <row r="114" spans="1:8" x14ac:dyDescent="0.2">
      <c r="A114" s="103" t="s">
        <v>218</v>
      </c>
      <c r="B114" s="117">
        <v>0</v>
      </c>
      <c r="C114" s="101"/>
      <c r="D114" s="101"/>
      <c r="E114" s="101"/>
      <c r="F114" s="101"/>
      <c r="G114" s="102"/>
      <c r="H114" s="101"/>
    </row>
    <row r="115" spans="1:8" s="44" customFormat="1" ht="40.5" customHeight="1" x14ac:dyDescent="0.2">
      <c r="A115" s="253" t="s">
        <v>287</v>
      </c>
      <c r="B115" s="254">
        <v>0</v>
      </c>
      <c r="C115" s="854" t="s">
        <v>358</v>
      </c>
      <c r="D115" s="854"/>
      <c r="E115" s="854"/>
      <c r="F115" s="854"/>
      <c r="G115" s="855"/>
      <c r="H115" s="161"/>
    </row>
    <row r="116" spans="1:8" x14ac:dyDescent="0.2">
      <c r="A116" s="103" t="s">
        <v>31</v>
      </c>
      <c r="B116" s="117">
        <v>0</v>
      </c>
      <c r="C116" s="256"/>
      <c r="D116" s="256"/>
      <c r="E116" s="256"/>
      <c r="F116" s="256"/>
      <c r="G116" s="257"/>
      <c r="H116" s="256"/>
    </row>
    <row r="117" spans="1:8" x14ac:dyDescent="0.2">
      <c r="A117" s="103" t="s">
        <v>248</v>
      </c>
      <c r="B117" s="117">
        <v>0</v>
      </c>
      <c r="C117" s="101"/>
      <c r="D117" s="101"/>
      <c r="E117" s="101"/>
      <c r="F117" s="101"/>
      <c r="G117" s="102"/>
      <c r="H117" s="101"/>
    </row>
    <row r="118" spans="1:8" x14ac:dyDescent="0.2">
      <c r="A118" s="103" t="s">
        <v>200</v>
      </c>
      <c r="B118" s="117">
        <v>0</v>
      </c>
      <c r="C118" s="101"/>
      <c r="D118" s="101"/>
      <c r="E118" s="101"/>
      <c r="F118" s="101"/>
      <c r="G118" s="102"/>
      <c r="H118" s="101"/>
    </row>
    <row r="119" spans="1:8" x14ac:dyDescent="0.2">
      <c r="A119" s="103" t="str">
        <f>$A$43</f>
        <v>Werma Rundumleuchte "Störung"</v>
      </c>
      <c r="B119" s="117">
        <v>0</v>
      </c>
      <c r="C119" s="101"/>
      <c r="D119" s="101"/>
      <c r="E119" s="101"/>
      <c r="F119" s="101"/>
      <c r="G119" s="102"/>
      <c r="H119" s="101"/>
    </row>
    <row r="120" spans="1:8" x14ac:dyDescent="0.2">
      <c r="A120" s="107" t="s">
        <v>214</v>
      </c>
      <c r="B120" s="117">
        <v>0</v>
      </c>
      <c r="C120" s="101"/>
      <c r="D120" s="101"/>
      <c r="E120" s="101"/>
      <c r="F120" s="101"/>
      <c r="G120" s="102"/>
      <c r="H120" s="101"/>
    </row>
    <row r="121" spans="1:8" x14ac:dyDescent="0.2">
      <c r="A121" s="107" t="s">
        <v>239</v>
      </c>
      <c r="B121" s="117">
        <v>0</v>
      </c>
      <c r="C121" s="101"/>
      <c r="D121" s="101"/>
      <c r="E121" s="101"/>
      <c r="F121" s="101"/>
      <c r="G121" s="102"/>
      <c r="H121" s="101"/>
    </row>
    <row r="122" spans="1:8" x14ac:dyDescent="0.2">
      <c r="A122" s="107" t="s">
        <v>233</v>
      </c>
      <c r="B122" s="117">
        <v>0</v>
      </c>
      <c r="C122" s="101"/>
      <c r="D122" s="101"/>
      <c r="E122" s="101"/>
      <c r="F122" s="101"/>
      <c r="G122" s="102"/>
      <c r="H122" s="101"/>
    </row>
    <row r="123" spans="1:8" x14ac:dyDescent="0.2">
      <c r="A123" s="107" t="s">
        <v>227</v>
      </c>
      <c r="B123" s="117">
        <v>0</v>
      </c>
      <c r="C123" s="101"/>
      <c r="D123" s="101"/>
      <c r="E123" s="101"/>
      <c r="F123" s="101"/>
      <c r="G123" s="102"/>
      <c r="H123" s="101"/>
    </row>
    <row r="124" spans="1:8" ht="13.5" thickBot="1" x14ac:dyDescent="0.25">
      <c r="A124" s="108" t="s">
        <v>96</v>
      </c>
      <c r="B124" s="121">
        <v>0</v>
      </c>
      <c r="C124" s="110"/>
      <c r="D124" s="110"/>
      <c r="E124" s="110"/>
      <c r="F124" s="110"/>
      <c r="G124" s="111"/>
      <c r="H124" s="101"/>
    </row>
    <row r="125" spans="1:8" ht="13.5" thickBot="1" x14ac:dyDescent="0.25">
      <c r="A125" s="106"/>
      <c r="B125" s="116"/>
      <c r="C125" s="101"/>
      <c r="D125" s="101"/>
      <c r="E125" s="101"/>
      <c r="F125" s="101"/>
      <c r="G125" s="101"/>
      <c r="H125" s="101"/>
    </row>
    <row r="126" spans="1:8" ht="15" x14ac:dyDescent="0.25">
      <c r="A126" s="112" t="str">
        <f>DECKBLATT!A10</f>
        <v>Puffer</v>
      </c>
      <c r="B126" s="98"/>
      <c r="C126" s="98"/>
      <c r="D126" s="98"/>
      <c r="E126" s="98"/>
      <c r="F126" s="98"/>
      <c r="G126" s="99"/>
    </row>
    <row r="127" spans="1:8" x14ac:dyDescent="0.2">
      <c r="A127" s="103" t="s">
        <v>210</v>
      </c>
      <c r="B127" s="643">
        <f>DECKBLATT!B10</f>
        <v>1</v>
      </c>
      <c r="C127" s="101"/>
      <c r="D127" s="101"/>
      <c r="E127" s="101"/>
      <c r="F127" s="101"/>
      <c r="G127" s="704"/>
    </row>
    <row r="128" spans="1:8" x14ac:dyDescent="0.2">
      <c r="A128" s="103" t="s">
        <v>356</v>
      </c>
      <c r="B128" s="643">
        <f>DECKBLATT!D10</f>
        <v>2</v>
      </c>
      <c r="C128" s="106"/>
      <c r="D128" s="101"/>
      <c r="E128" s="101"/>
      <c r="F128" s="101"/>
      <c r="G128" s="704"/>
    </row>
    <row r="129" spans="1:8" x14ac:dyDescent="0.2">
      <c r="A129" s="103" t="str">
        <f>$A$30</f>
        <v>Sensor optisch Traverse</v>
      </c>
      <c r="B129" s="105">
        <f>B127*B128+C129</f>
        <v>2</v>
      </c>
      <c r="C129" s="117">
        <v>0</v>
      </c>
      <c r="D129" s="101"/>
      <c r="E129" s="101"/>
      <c r="F129" s="101"/>
      <c r="G129" s="539"/>
    </row>
    <row r="130" spans="1:8" x14ac:dyDescent="0.2">
      <c r="A130" s="103" t="s">
        <v>31</v>
      </c>
      <c r="B130" s="105">
        <f>B127*(B128)+C130</f>
        <v>2</v>
      </c>
      <c r="C130" s="117">
        <v>0</v>
      </c>
      <c r="D130" s="101"/>
      <c r="E130" s="101"/>
      <c r="F130" s="101"/>
      <c r="G130" s="539"/>
    </row>
    <row r="131" spans="1:8" x14ac:dyDescent="0.2">
      <c r="A131" s="103" t="s">
        <v>359</v>
      </c>
      <c r="B131" s="554">
        <v>0</v>
      </c>
      <c r="C131" s="101"/>
      <c r="D131" s="101"/>
      <c r="E131" s="101"/>
      <c r="F131" s="101"/>
      <c r="G131" s="539"/>
    </row>
    <row r="132" spans="1:8" x14ac:dyDescent="0.2">
      <c r="A132" s="103" t="s">
        <v>96</v>
      </c>
      <c r="B132" s="105">
        <f>$B127*(ROUNDDOWN($B128/2,0))</f>
        <v>1</v>
      </c>
      <c r="C132" s="101"/>
      <c r="D132" s="101"/>
      <c r="E132" s="101"/>
      <c r="F132" s="101"/>
      <c r="G132" s="539"/>
    </row>
    <row r="133" spans="1:8" x14ac:dyDescent="0.2">
      <c r="A133" s="107" t="s">
        <v>357</v>
      </c>
      <c r="B133" s="105">
        <f>$B$127+C133</f>
        <v>1</v>
      </c>
      <c r="C133" s="117">
        <v>0</v>
      </c>
      <c r="D133" s="101"/>
      <c r="E133" s="101"/>
      <c r="F133" s="101"/>
      <c r="G133" s="539"/>
    </row>
    <row r="134" spans="1:8" x14ac:dyDescent="0.2">
      <c r="A134" s="107" t="s">
        <v>242</v>
      </c>
      <c r="B134" s="105">
        <f>$B$127+C134</f>
        <v>1</v>
      </c>
      <c r="C134" s="117">
        <v>0</v>
      </c>
      <c r="D134" s="101"/>
      <c r="E134" s="101"/>
      <c r="F134" s="101"/>
      <c r="G134" s="102"/>
    </row>
    <row r="135" spans="1:8" ht="13.5" thickBot="1" x14ac:dyDescent="0.25">
      <c r="A135" s="108"/>
      <c r="B135" s="252"/>
      <c r="C135" s="110"/>
      <c r="D135" s="110"/>
      <c r="E135" s="110"/>
      <c r="F135" s="110"/>
      <c r="G135" s="111"/>
      <c r="H135" s="101"/>
    </row>
    <row r="136" spans="1:8" ht="13.5" thickBot="1" x14ac:dyDescent="0.25">
      <c r="A136" s="106"/>
      <c r="B136" s="116"/>
      <c r="C136" s="101"/>
      <c r="D136" s="101"/>
      <c r="E136" s="101"/>
      <c r="F136" s="101"/>
      <c r="G136" s="101"/>
      <c r="H136" s="101"/>
    </row>
    <row r="137" spans="1:8" ht="15" x14ac:dyDescent="0.25">
      <c r="A137" s="112" t="str">
        <f>DECKBLATT!A12</f>
        <v>Turm</v>
      </c>
      <c r="B137" s="98"/>
      <c r="C137" s="98"/>
      <c r="D137" s="98"/>
      <c r="E137" s="98"/>
      <c r="F137" s="98"/>
      <c r="G137" s="99"/>
    </row>
    <row r="138" spans="1:8" x14ac:dyDescent="0.2">
      <c r="A138" s="103" t="s">
        <v>210</v>
      </c>
      <c r="B138" s="125">
        <f>DECKBLATT!B12</f>
        <v>0</v>
      </c>
      <c r="C138" s="101"/>
      <c r="D138" s="101"/>
      <c r="E138" s="101"/>
      <c r="F138" s="101"/>
      <c r="G138" s="704"/>
    </row>
    <row r="139" spans="1:8" x14ac:dyDescent="0.2">
      <c r="A139" s="103" t="s">
        <v>356</v>
      </c>
      <c r="B139" s="125">
        <f>DECKBLATT!D12</f>
        <v>0</v>
      </c>
      <c r="C139" s="106"/>
      <c r="D139" s="101"/>
      <c r="E139" s="101"/>
      <c r="F139" s="101"/>
      <c r="G139" s="704"/>
    </row>
    <row r="140" spans="1:8" x14ac:dyDescent="0.2">
      <c r="A140" s="103" t="str">
        <f>$A$30</f>
        <v>Sensor optisch Traverse</v>
      </c>
      <c r="B140" s="105">
        <f>B138*5</f>
        <v>0</v>
      </c>
      <c r="C140" s="117">
        <v>0</v>
      </c>
      <c r="D140" s="101"/>
      <c r="E140" s="101"/>
      <c r="F140" s="101"/>
      <c r="G140" s="539"/>
    </row>
    <row r="141" spans="1:8" x14ac:dyDescent="0.2">
      <c r="A141" s="103" t="s">
        <v>31</v>
      </c>
      <c r="B141" s="105">
        <f>B138*3</f>
        <v>0</v>
      </c>
      <c r="C141" s="117">
        <v>0</v>
      </c>
      <c r="D141" s="101"/>
      <c r="E141" s="101"/>
      <c r="F141" s="101"/>
      <c r="G141" s="539"/>
    </row>
    <row r="142" spans="1:8" x14ac:dyDescent="0.2">
      <c r="A142" s="103" t="s">
        <v>233</v>
      </c>
      <c r="B142" s="125">
        <f>B138*2+C142</f>
        <v>0</v>
      </c>
      <c r="C142" s="117">
        <v>0</v>
      </c>
      <c r="D142" s="101"/>
      <c r="E142" s="101"/>
      <c r="F142" s="101"/>
      <c r="G142" s="539"/>
    </row>
    <row r="143" spans="1:8" x14ac:dyDescent="0.2">
      <c r="A143" s="103" t="s">
        <v>430</v>
      </c>
      <c r="B143" s="125">
        <f>B138*(B139*2)+C143</f>
        <v>0</v>
      </c>
      <c r="C143" s="117">
        <v>0</v>
      </c>
      <c r="D143" s="101"/>
      <c r="E143" s="101"/>
      <c r="F143" s="101"/>
      <c r="G143" s="539"/>
      <c r="H143" s="101"/>
    </row>
    <row r="144" spans="1:8" ht="13.5" thickBot="1" x14ac:dyDescent="0.25">
      <c r="A144" s="115" t="s">
        <v>218</v>
      </c>
      <c r="B144" s="705">
        <f>B138*2</f>
        <v>0</v>
      </c>
      <c r="C144" s="110"/>
      <c r="D144" s="110"/>
      <c r="E144" s="110"/>
      <c r="F144" s="110"/>
      <c r="G144" s="111"/>
      <c r="H144" s="101"/>
    </row>
    <row r="145" spans="1:8" x14ac:dyDescent="0.2">
      <c r="A145" s="106"/>
      <c r="B145" s="116"/>
      <c r="C145" s="101"/>
      <c r="D145" s="101"/>
      <c r="E145" s="101"/>
      <c r="F145" s="101"/>
      <c r="G145" s="101"/>
      <c r="H145" s="101"/>
    </row>
    <row r="146" spans="1:8" x14ac:dyDescent="0.2">
      <c r="A146" s="106"/>
      <c r="B146" s="116"/>
      <c r="C146" s="101"/>
      <c r="D146" s="101"/>
      <c r="E146" s="101"/>
      <c r="F146" s="101"/>
      <c r="G146" s="101"/>
      <c r="H146" s="101"/>
    </row>
    <row r="147" spans="1:8" x14ac:dyDescent="0.2">
      <c r="A147" s="106"/>
      <c r="B147" s="116"/>
      <c r="C147" s="101"/>
      <c r="D147" s="101"/>
      <c r="E147" s="101"/>
      <c r="F147" s="101"/>
      <c r="G147" s="101"/>
      <c r="H147" s="101"/>
    </row>
    <row r="148" spans="1:8" ht="13.5" thickBot="1" x14ac:dyDescent="0.25">
      <c r="A148" s="106"/>
      <c r="B148" s="116"/>
      <c r="C148" s="101"/>
      <c r="D148" s="101"/>
      <c r="E148" s="101"/>
      <c r="F148" s="101"/>
      <c r="G148" s="101"/>
      <c r="H148" s="101"/>
    </row>
    <row r="149" spans="1:8" ht="18" x14ac:dyDescent="0.25">
      <c r="A149" s="845" t="s">
        <v>394</v>
      </c>
      <c r="B149" s="846"/>
      <c r="C149" s="846"/>
      <c r="D149" s="847"/>
      <c r="E149" s="601"/>
      <c r="F149" s="601"/>
      <c r="G149" s="601"/>
    </row>
    <row r="150" spans="1:8" s="44" customFormat="1" ht="25.5" customHeight="1" x14ac:dyDescent="0.2">
      <c r="A150" s="842" t="str">
        <f>DECKBLATT!A4</f>
        <v>Alpha Yarn Egypt 500537_10_0 FSA
Kein PC und keine Visualisierung. 
Textdisplay mit Störmeldungen ohne Grafik</v>
      </c>
      <c r="B150" s="843"/>
      <c r="C150" s="843"/>
      <c r="D150" s="844"/>
      <c r="E150" s="557"/>
      <c r="F150" s="557"/>
      <c r="G150" s="150"/>
    </row>
    <row r="151" spans="1:8" x14ac:dyDescent="0.2">
      <c r="A151" s="830"/>
      <c r="B151" s="831"/>
      <c r="C151" s="831"/>
      <c r="D151" s="832"/>
      <c r="E151" s="256"/>
      <c r="F151" s="256"/>
      <c r="G151" s="256"/>
    </row>
    <row r="152" spans="1:8" ht="15" x14ac:dyDescent="0.25">
      <c r="A152" s="605" t="s">
        <v>228</v>
      </c>
      <c r="B152" s="602"/>
      <c r="C152" s="602"/>
      <c r="D152" s="606"/>
      <c r="E152" s="256"/>
      <c r="F152" s="256"/>
      <c r="G152" s="256"/>
    </row>
    <row r="153" spans="1:8" x14ac:dyDescent="0.2">
      <c r="A153" s="607" t="str">
        <f>$A$30</f>
        <v>Sensor optisch Traverse</v>
      </c>
      <c r="B153" s="603">
        <f>B11+B30+B50+B75+B93+B112+(B117*2)+(B118*4)+B129+B140+C153</f>
        <v>24</v>
      </c>
      <c r="C153" s="604">
        <v>0</v>
      </c>
      <c r="D153" s="527"/>
      <c r="E153" s="101"/>
      <c r="F153" s="101"/>
      <c r="G153" s="101"/>
    </row>
    <row r="154" spans="1:8" x14ac:dyDescent="0.2">
      <c r="A154" s="607" t="str">
        <f ca="1">$A$51</f>
        <v>Sensor induktiv Spulenalter (Zug positionierung)</v>
      </c>
      <c r="B154" s="603">
        <f>B94+B51+B76+C154</f>
        <v>2</v>
      </c>
      <c r="C154" s="604">
        <v>0</v>
      </c>
      <c r="D154" s="527"/>
      <c r="E154" s="101"/>
      <c r="F154" s="101"/>
      <c r="G154" s="101"/>
    </row>
    <row r="155" spans="1:8" x14ac:dyDescent="0.2">
      <c r="A155" s="608" t="s">
        <v>314</v>
      </c>
      <c r="B155" s="603">
        <f>B77+C155</f>
        <v>0</v>
      </c>
      <c r="C155" s="604">
        <v>0</v>
      </c>
      <c r="D155" s="527"/>
      <c r="E155" s="101"/>
      <c r="F155" s="101"/>
      <c r="G155" s="101"/>
    </row>
    <row r="156" spans="1:8" x14ac:dyDescent="0.2">
      <c r="A156" s="608" t="s">
        <v>243</v>
      </c>
      <c r="B156" s="603">
        <f>B39+C156</f>
        <v>0</v>
      </c>
      <c r="C156" s="604">
        <v>0</v>
      </c>
      <c r="D156" s="527"/>
      <c r="E156" s="101"/>
      <c r="F156" s="101"/>
      <c r="G156" s="101"/>
    </row>
    <row r="157" spans="1:8" ht="25.5" x14ac:dyDescent="0.2">
      <c r="A157" s="690" t="s">
        <v>420</v>
      </c>
      <c r="B157" s="802">
        <f>B40+C157</f>
        <v>0</v>
      </c>
      <c r="C157" s="803">
        <v>0</v>
      </c>
      <c r="D157" s="527"/>
      <c r="E157" s="101"/>
      <c r="F157" s="101"/>
      <c r="G157" s="101"/>
    </row>
    <row r="158" spans="1:8" x14ac:dyDescent="0.2">
      <c r="A158" s="607" t="s">
        <v>212</v>
      </c>
      <c r="B158" s="603">
        <f>B32+B113+C158</f>
        <v>11</v>
      </c>
      <c r="C158" s="604">
        <v>0</v>
      </c>
      <c r="D158" s="527"/>
      <c r="E158" s="101"/>
      <c r="F158" s="101"/>
      <c r="G158" s="101"/>
    </row>
    <row r="159" spans="1:8" x14ac:dyDescent="0.2">
      <c r="A159" s="607" t="s">
        <v>218</v>
      </c>
      <c r="B159" s="603">
        <f>B13+B33+B52+B78+B95+B114+B144+C159</f>
        <v>3</v>
      </c>
      <c r="C159" s="604">
        <v>0</v>
      </c>
      <c r="D159" s="527"/>
      <c r="E159" s="101"/>
      <c r="F159" s="101"/>
      <c r="G159" s="101"/>
    </row>
    <row r="160" spans="1:8" x14ac:dyDescent="0.2">
      <c r="A160" s="608" t="s">
        <v>287</v>
      </c>
      <c r="B160" s="603">
        <f>B115</f>
        <v>0</v>
      </c>
      <c r="C160" s="604">
        <v>0</v>
      </c>
      <c r="D160" s="527"/>
      <c r="E160" s="101"/>
      <c r="F160" s="101"/>
      <c r="G160" s="101"/>
    </row>
    <row r="161" spans="1:7" x14ac:dyDescent="0.2">
      <c r="A161" s="607" t="s">
        <v>219</v>
      </c>
      <c r="B161" s="603">
        <f>B79+G79</f>
        <v>0</v>
      </c>
      <c r="C161" s="604">
        <v>0</v>
      </c>
      <c r="D161" s="527"/>
      <c r="E161" s="101"/>
      <c r="F161" s="101"/>
      <c r="G161" s="101"/>
    </row>
    <row r="162" spans="1:7" x14ac:dyDescent="0.2">
      <c r="A162" s="607" t="s">
        <v>226</v>
      </c>
      <c r="B162" s="603">
        <f>B53+G53+B96+G96</f>
        <v>1</v>
      </c>
      <c r="C162" s="604">
        <v>0</v>
      </c>
      <c r="D162" s="527"/>
      <c r="E162" s="101"/>
      <c r="F162" s="101"/>
      <c r="G162" s="101"/>
    </row>
    <row r="163" spans="1:7" x14ac:dyDescent="0.2">
      <c r="A163" s="607" t="s">
        <v>31</v>
      </c>
      <c r="B163" s="719">
        <f>B15+B34+B54+B80+B97+B116+B130+B141+C163</f>
        <v>17</v>
      </c>
      <c r="C163" s="604">
        <v>0</v>
      </c>
      <c r="D163" s="527"/>
      <c r="E163" s="101"/>
      <c r="F163" s="101"/>
      <c r="G163" s="101"/>
    </row>
    <row r="164" spans="1:7" x14ac:dyDescent="0.2">
      <c r="A164" s="607" t="s">
        <v>248</v>
      </c>
      <c r="B164" s="800">
        <f>B16+B56+B99</f>
        <v>0</v>
      </c>
      <c r="C164" s="604">
        <v>0</v>
      </c>
      <c r="D164" s="527"/>
      <c r="E164" s="101"/>
      <c r="F164" s="101"/>
      <c r="G164" s="101"/>
    </row>
    <row r="165" spans="1:7" x14ac:dyDescent="0.2">
      <c r="A165" s="607" t="s">
        <v>480</v>
      </c>
      <c r="B165" s="719">
        <f>B57+B100+C165</f>
        <v>0</v>
      </c>
      <c r="C165" s="604">
        <v>0</v>
      </c>
      <c r="D165" s="527"/>
      <c r="E165" s="101"/>
      <c r="F165" s="101"/>
      <c r="G165" s="101"/>
    </row>
    <row r="166" spans="1:7" x14ac:dyDescent="0.2">
      <c r="A166" s="608" t="s">
        <v>87</v>
      </c>
      <c r="B166" s="603">
        <f>B58</f>
        <v>0</v>
      </c>
      <c r="C166" s="604">
        <v>0</v>
      </c>
      <c r="D166" s="527"/>
      <c r="E166" s="101"/>
      <c r="F166" s="101"/>
      <c r="G166" s="101"/>
    </row>
    <row r="167" spans="1:7" x14ac:dyDescent="0.2">
      <c r="A167" s="977" t="s">
        <v>357</v>
      </c>
      <c r="B167" s="603">
        <f>B20+$B$41+$B$67+$B$86+$B$106+$B$133</f>
        <v>4</v>
      </c>
      <c r="C167" s="604">
        <v>0</v>
      </c>
      <c r="D167" s="527"/>
      <c r="E167" s="101"/>
      <c r="F167" s="101"/>
      <c r="G167" s="101"/>
    </row>
    <row r="168" spans="1:7" x14ac:dyDescent="0.2">
      <c r="A168" s="977" t="s">
        <v>242</v>
      </c>
      <c r="B168" s="603">
        <f>B21+$B$41+$B$67+$B$86+$B$106+$B$133</f>
        <v>4</v>
      </c>
      <c r="C168" s="604">
        <v>0</v>
      </c>
      <c r="D168" s="527"/>
      <c r="E168" s="101"/>
      <c r="F168" s="101"/>
      <c r="G168" s="101"/>
    </row>
    <row r="169" spans="1:7" x14ac:dyDescent="0.2">
      <c r="A169" s="607" t="str">
        <f>$A$43</f>
        <v>Werma Rundumleuchte "Störung"</v>
      </c>
      <c r="B169" s="603">
        <f>B22+B43+B69+B88+B108+B119</f>
        <v>3</v>
      </c>
      <c r="C169" s="604">
        <v>0</v>
      </c>
      <c r="D169" s="527"/>
      <c r="E169" s="101"/>
      <c r="F169" s="101"/>
      <c r="G169" s="101"/>
    </row>
    <row r="170" spans="1:7" x14ac:dyDescent="0.2">
      <c r="A170" s="607" t="s">
        <v>220</v>
      </c>
      <c r="B170" s="603">
        <f>B81+B55</f>
        <v>0</v>
      </c>
      <c r="C170" s="604">
        <v>0</v>
      </c>
      <c r="D170" s="527"/>
      <c r="E170" s="101"/>
      <c r="F170" s="101"/>
      <c r="G170" s="101"/>
    </row>
    <row r="171" spans="1:7" x14ac:dyDescent="0.2">
      <c r="A171" s="607" t="s">
        <v>200</v>
      </c>
      <c r="B171" s="603">
        <f>B118</f>
        <v>0</v>
      </c>
      <c r="C171" s="604">
        <v>0</v>
      </c>
      <c r="D171" s="527"/>
      <c r="E171" s="101"/>
      <c r="F171" s="101"/>
      <c r="G171" s="101"/>
    </row>
    <row r="172" spans="1:7" x14ac:dyDescent="0.2">
      <c r="A172" s="978" t="s">
        <v>214</v>
      </c>
      <c r="B172" s="603">
        <f>B120+B59+C172</f>
        <v>0</v>
      </c>
      <c r="C172" s="604">
        <v>0</v>
      </c>
      <c r="D172" s="527"/>
      <c r="E172" s="101"/>
      <c r="F172" s="101"/>
      <c r="G172" s="101"/>
    </row>
    <row r="173" spans="1:7" x14ac:dyDescent="0.2">
      <c r="A173" s="607" t="s">
        <v>221</v>
      </c>
      <c r="B173" s="603">
        <f>B60+B82</f>
        <v>1</v>
      </c>
      <c r="C173" s="604">
        <v>0</v>
      </c>
      <c r="D173" s="527"/>
      <c r="E173" s="101"/>
      <c r="F173" s="101"/>
      <c r="G173" s="101"/>
    </row>
    <row r="174" spans="1:7" x14ac:dyDescent="0.2">
      <c r="A174" s="607" t="s">
        <v>239</v>
      </c>
      <c r="B174" s="603">
        <f>B61+B83+B121</f>
        <v>0</v>
      </c>
      <c r="C174" s="604">
        <v>0</v>
      </c>
      <c r="D174" s="527"/>
      <c r="E174" s="101"/>
      <c r="F174" s="101"/>
      <c r="G174" s="101"/>
    </row>
    <row r="175" spans="1:7" x14ac:dyDescent="0.2">
      <c r="A175" s="608" t="s">
        <v>233</v>
      </c>
      <c r="B175" s="603">
        <f>B35+B63+B103+B122+B131+B142+C175</f>
        <v>14</v>
      </c>
      <c r="C175" s="604">
        <v>0</v>
      </c>
      <c r="D175" s="527"/>
      <c r="E175" s="101"/>
      <c r="F175" s="101"/>
      <c r="G175" s="101"/>
    </row>
    <row r="176" spans="1:7" x14ac:dyDescent="0.2">
      <c r="A176" s="607" t="s">
        <v>227</v>
      </c>
      <c r="B176" s="603">
        <f>B37+B64+B101+B123+B143</f>
        <v>1</v>
      </c>
      <c r="C176" s="604">
        <v>0</v>
      </c>
      <c r="D176" s="527"/>
      <c r="E176" s="101"/>
      <c r="F176" s="101"/>
      <c r="G176" s="101"/>
    </row>
    <row r="177" spans="1:7" x14ac:dyDescent="0.2">
      <c r="A177" s="607" t="s">
        <v>222</v>
      </c>
      <c r="B177" s="603">
        <f>B17+B62+B102+C177</f>
        <v>0</v>
      </c>
      <c r="C177" s="604">
        <v>0</v>
      </c>
      <c r="D177" s="527"/>
      <c r="E177" s="101"/>
      <c r="F177" s="101"/>
      <c r="G177" s="101"/>
    </row>
    <row r="178" spans="1:7" x14ac:dyDescent="0.2">
      <c r="A178" s="607" t="s">
        <v>96</v>
      </c>
      <c r="B178" s="603">
        <f>B18+B65+G65+B85+G85+B104+G104+B124+B132+G132</f>
        <v>3</v>
      </c>
      <c r="C178" s="603">
        <f>SUM(B172:B178)</f>
        <v>19</v>
      </c>
      <c r="D178" s="527"/>
      <c r="E178" s="101"/>
      <c r="F178" s="101"/>
      <c r="G178" s="101"/>
    </row>
    <row r="179" spans="1:7" ht="13.5" thickBot="1" x14ac:dyDescent="0.25">
      <c r="A179" s="609" t="s">
        <v>36</v>
      </c>
      <c r="B179" s="610">
        <f>B19+B38</f>
        <v>0</v>
      </c>
      <c r="C179" s="528"/>
      <c r="D179" s="529"/>
      <c r="E179" s="101"/>
      <c r="F179" s="101"/>
      <c r="G179" s="101"/>
    </row>
    <row r="180" spans="1:7" x14ac:dyDescent="0.2">
      <c r="A180" s="101"/>
      <c r="B180" s="101"/>
      <c r="C180" s="101"/>
      <c r="D180" s="101"/>
      <c r="E180" s="101"/>
      <c r="F180" s="101"/>
      <c r="G180" s="101"/>
    </row>
    <row r="181" spans="1:7" x14ac:dyDescent="0.2">
      <c r="A181" s="1"/>
    </row>
  </sheetData>
  <customSheetViews>
    <customSheetView guid="{3AE3C0CE-F6F6-4222-9052-F72F2FCDEDAE}" hiddenRows="1" topLeftCell="A13">
      <selection activeCell="B4" sqref="B4"/>
      <rowBreaks count="1" manualBreakCount="1">
        <brk id="107" max="16383" man="1"/>
      </rowBreaks>
      <pageMargins left="0.7" right="0.7" top="0.78740157499999996" bottom="0.78740157499999996" header="0.3" footer="0.3"/>
      <pageSetup paperSize="9" orientation="portrait" r:id="rId1"/>
    </customSheetView>
  </customSheetViews>
  <mergeCells count="14">
    <mergeCell ref="H2:K2"/>
    <mergeCell ref="H3:K3"/>
    <mergeCell ref="A4:A5"/>
    <mergeCell ref="H4:K4"/>
    <mergeCell ref="C115:G115"/>
    <mergeCell ref="A151:D151"/>
    <mergeCell ref="A1:G1"/>
    <mergeCell ref="B4:B5"/>
    <mergeCell ref="C3:D3"/>
    <mergeCell ref="C4:D5"/>
    <mergeCell ref="E3:F3"/>
    <mergeCell ref="E4:F5"/>
    <mergeCell ref="A150:D150"/>
    <mergeCell ref="A149:D149"/>
  </mergeCells>
  <pageMargins left="0.7" right="0.7" top="0.78740157499999996" bottom="0.78740157499999996" header="0.3" footer="0.3"/>
  <pageSetup paperSize="9" orientation="portrait" r:id="rId2"/>
  <rowBreaks count="1" manualBreakCount="1">
    <brk id="148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4">
    <pageSetUpPr fitToPage="1"/>
  </sheetPr>
  <dimension ref="A1:T188"/>
  <sheetViews>
    <sheetView showGridLines="0" topLeftCell="A124" zoomScale="70" zoomScaleNormal="70" workbookViewId="0">
      <selection activeCell="D100" sqref="D100"/>
    </sheetView>
  </sheetViews>
  <sheetFormatPr baseColWidth="10" defaultColWidth="11.42578125" defaultRowHeight="12.75" x14ac:dyDescent="0.2"/>
  <cols>
    <col min="1" max="1" width="33.7109375" style="67" customWidth="1"/>
    <col min="2" max="2" width="17.28515625" style="45" customWidth="1"/>
    <col min="3" max="3" width="3" style="44" customWidth="1"/>
    <col min="4" max="5" width="11.140625" style="44" customWidth="1"/>
    <col min="6" max="6" width="21.5703125" style="44" customWidth="1"/>
    <col min="7" max="7" width="17.7109375" style="44" customWidth="1"/>
    <col min="8" max="9" width="15.140625" style="44" customWidth="1"/>
    <col min="10" max="10" width="8.7109375" style="44" customWidth="1"/>
    <col min="11" max="11" width="14.28515625" style="45" customWidth="1"/>
    <col min="12" max="12" width="31.5703125" style="45" customWidth="1"/>
    <col min="13" max="13" width="12" style="45" customWidth="1"/>
    <col min="14" max="15" width="15.28515625" style="44" customWidth="1"/>
    <col min="16" max="16384" width="11.42578125" style="44"/>
  </cols>
  <sheetData>
    <row r="1" spans="1:15" ht="15.75" x14ac:dyDescent="0.2">
      <c r="A1" s="499" t="str">
        <f>+DECKBLATT!A1</f>
        <v>KALKULATION SPINNEREI</v>
      </c>
      <c r="B1" s="46"/>
      <c r="C1" s="47"/>
      <c r="D1" s="47"/>
      <c r="E1" s="47"/>
      <c r="F1" s="47"/>
      <c r="G1" s="47"/>
    </row>
    <row r="2" spans="1:15" ht="15" x14ac:dyDescent="0.2">
      <c r="A2" s="48"/>
      <c r="I2" s="849" t="str">
        <f>Mengengerüst!$H$2</f>
        <v>In Grau Markierte Fehlder müssen Zahlenwerte
eingetragen werden</v>
      </c>
      <c r="J2" s="849"/>
      <c r="K2" s="849"/>
      <c r="L2" s="849"/>
    </row>
    <row r="3" spans="1:15" ht="15.75" x14ac:dyDescent="0.2">
      <c r="A3" s="49" t="str">
        <f>DECKBLATT!A3</f>
        <v>Projekt</v>
      </c>
      <c r="B3" s="856" t="str">
        <f>DECKBLATT!D3</f>
        <v>System</v>
      </c>
      <c r="C3" s="857"/>
      <c r="D3" s="858"/>
      <c r="E3" s="661"/>
      <c r="F3" s="50" t="str">
        <f>DECKBLATT!E3</f>
        <v>Datum</v>
      </c>
      <c r="G3" s="50" t="str">
        <f>DECKBLATT!F3</f>
        <v>Ersteller</v>
      </c>
      <c r="I3" s="850" t="str">
        <f>Mengengerüst!$H$3</f>
        <v>Lila Markierte Felder Sonderfelder nur Bedingt ändern.</v>
      </c>
      <c r="J3" s="850"/>
      <c r="K3" s="850"/>
      <c r="L3" s="850"/>
    </row>
    <row r="4" spans="1:15" ht="15.75" customHeight="1" thickBot="1" x14ac:dyDescent="0.25">
      <c r="A4" s="859" t="str">
        <f>DECKBLATT!A4</f>
        <v>Alpha Yarn Egypt 500537_10_0 FSA
Kein PC und keine Visualisierung. 
Textdisplay mit Störmeldungen ohne Grafik</v>
      </c>
      <c r="B4" s="861" t="str">
        <f>DECKBLATT!D4</f>
        <v>FA</v>
      </c>
      <c r="C4" s="862"/>
      <c r="D4" s="863"/>
      <c r="E4" s="662"/>
      <c r="F4" s="867">
        <f>DECKBLATT!E4</f>
        <v>44628</v>
      </c>
      <c r="G4" s="859" t="str">
        <f>DECKBLATT!F4</f>
        <v>Schellhammer</v>
      </c>
      <c r="I4" s="853" t="str">
        <f>Mengengerüst!$H$4</f>
        <v>Gelb Markierte Felder nicht ändern (Formeln hinterlegt)</v>
      </c>
      <c r="J4" s="853"/>
      <c r="K4" s="853"/>
      <c r="L4" s="853"/>
    </row>
    <row r="5" spans="1:15" ht="15.75" customHeight="1" x14ac:dyDescent="0.2">
      <c r="A5" s="860"/>
      <c r="B5" s="864"/>
      <c r="C5" s="865"/>
      <c r="D5" s="866"/>
      <c r="E5" s="663"/>
      <c r="F5" s="868"/>
      <c r="G5" s="860"/>
      <c r="I5" s="497"/>
      <c r="J5" s="497"/>
      <c r="K5" s="497"/>
      <c r="L5" s="497"/>
    </row>
    <row r="6" spans="1:15" ht="16.899999999999999" customHeight="1" x14ac:dyDescent="0.2">
      <c r="A6" s="496"/>
      <c r="B6" s="44"/>
      <c r="K6" s="44"/>
      <c r="L6" s="44"/>
    </row>
    <row r="7" spans="1:15" ht="15.75" customHeight="1" thickBot="1" x14ac:dyDescent="0.25">
      <c r="A7" s="667" t="s">
        <v>412</v>
      </c>
      <c r="B7" s="668">
        <v>0</v>
      </c>
      <c r="K7" s="44"/>
      <c r="L7" s="44"/>
    </row>
    <row r="8" spans="1:15" ht="13.5" thickBot="1" x14ac:dyDescent="0.25">
      <c r="H8" s="876" t="s">
        <v>345</v>
      </c>
      <c r="I8" s="877"/>
      <c r="J8" s="878"/>
      <c r="K8" s="876" t="s">
        <v>49</v>
      </c>
      <c r="L8" s="877"/>
      <c r="M8" s="878"/>
    </row>
    <row r="9" spans="1:15" ht="26.45" customHeight="1" x14ac:dyDescent="0.2">
      <c r="A9" s="168" t="s">
        <v>19</v>
      </c>
      <c r="B9" s="169" t="s">
        <v>6</v>
      </c>
      <c r="C9" s="169"/>
      <c r="D9" s="170" t="s">
        <v>13</v>
      </c>
      <c r="E9" s="170"/>
      <c r="F9" s="170" t="s">
        <v>14</v>
      </c>
      <c r="G9" s="191" t="s">
        <v>73</v>
      </c>
      <c r="H9" s="871" t="s">
        <v>325</v>
      </c>
      <c r="I9" s="872"/>
      <c r="J9" s="200"/>
      <c r="K9" s="871" t="s">
        <v>326</v>
      </c>
      <c r="L9" s="872"/>
      <c r="M9" s="204"/>
    </row>
    <row r="10" spans="1:15" x14ac:dyDescent="0.2">
      <c r="A10" s="447" t="s">
        <v>61</v>
      </c>
      <c r="B10" s="6"/>
      <c r="C10" s="6"/>
      <c r="D10" s="3"/>
      <c r="E10" s="3"/>
      <c r="F10" s="3"/>
      <c r="G10" s="51"/>
      <c r="H10" s="193" t="s">
        <v>338</v>
      </c>
      <c r="I10" s="874" t="s">
        <v>154</v>
      </c>
      <c r="J10" s="875"/>
      <c r="K10" s="205" t="s">
        <v>327</v>
      </c>
      <c r="L10" s="202" t="s">
        <v>154</v>
      </c>
      <c r="M10" s="206"/>
    </row>
    <row r="11" spans="1:15" ht="25.5" x14ac:dyDescent="0.2">
      <c r="A11" s="171" t="s">
        <v>11</v>
      </c>
      <c r="B11" s="6" t="s">
        <v>6</v>
      </c>
      <c r="C11" s="6"/>
      <c r="D11" s="3" t="s">
        <v>13</v>
      </c>
      <c r="E11" s="669" t="s">
        <v>413</v>
      </c>
      <c r="F11" s="3" t="s">
        <v>14</v>
      </c>
      <c r="G11" s="260"/>
      <c r="H11" s="193"/>
      <c r="I11" s="198" t="s">
        <v>344</v>
      </c>
      <c r="J11" s="207" t="s">
        <v>346</v>
      </c>
      <c r="K11" s="193"/>
      <c r="L11" s="127"/>
      <c r="M11" s="206"/>
    </row>
    <row r="12" spans="1:15" ht="25.5" x14ac:dyDescent="0.2">
      <c r="A12" s="186" t="s">
        <v>487</v>
      </c>
      <c r="B12" s="482">
        <v>1</v>
      </c>
      <c r="C12" s="3" t="s">
        <v>12</v>
      </c>
      <c r="D12" s="4">
        <v>2000</v>
      </c>
      <c r="E12" s="4"/>
      <c r="F12" s="65">
        <f t="shared" ref="F12:F32" si="0">B12*D12</f>
        <v>2000</v>
      </c>
      <c r="G12" s="149"/>
      <c r="H12" s="784">
        <f>1200+N12</f>
        <v>1200</v>
      </c>
      <c r="I12" s="199">
        <f>H12*B12</f>
        <v>1200</v>
      </c>
      <c r="J12" s="778">
        <f>ROUNDUP(I12/60,0)</f>
        <v>20</v>
      </c>
      <c r="K12" s="783">
        <v>1800</v>
      </c>
      <c r="L12" s="199">
        <f>$K12*$B12</f>
        <v>1800</v>
      </c>
      <c r="M12" s="710">
        <f>L12/60</f>
        <v>30</v>
      </c>
      <c r="N12" s="786">
        <v>0</v>
      </c>
      <c r="O12" s="44">
        <v>0</v>
      </c>
    </row>
    <row r="13" spans="1:15" ht="25.5" x14ac:dyDescent="0.2">
      <c r="A13" s="172" t="s">
        <v>343</v>
      </c>
      <c r="B13" s="482">
        <v>0</v>
      </c>
      <c r="C13" s="3" t="s">
        <v>12</v>
      </c>
      <c r="D13" s="4">
        <v>4157.18</v>
      </c>
      <c r="E13" s="4"/>
      <c r="F13" s="65">
        <f t="shared" ref="F13:F21" si="1">B13*D13</f>
        <v>0</v>
      </c>
      <c r="G13" s="149">
        <v>790821101</v>
      </c>
      <c r="H13" s="785">
        <v>4200</v>
      </c>
      <c r="I13" s="199">
        <f>H13*B13</f>
        <v>0</v>
      </c>
      <c r="J13" s="723">
        <f>ROUNDUP(I13/60,0)</f>
        <v>0</v>
      </c>
      <c r="K13" s="193">
        <v>4800</v>
      </c>
      <c r="L13" s="199">
        <f>$K13*$B13</f>
        <v>0</v>
      </c>
      <c r="M13" s="194">
        <f>L13/60</f>
        <v>0</v>
      </c>
    </row>
    <row r="14" spans="1:15" ht="25.5" x14ac:dyDescent="0.2">
      <c r="A14" s="186" t="s">
        <v>389</v>
      </c>
      <c r="B14" s="482">
        <v>0</v>
      </c>
      <c r="C14" s="3" t="s">
        <v>12</v>
      </c>
      <c r="D14" s="4">
        <v>5134.55</v>
      </c>
      <c r="E14" s="4"/>
      <c r="F14" s="65">
        <f t="shared" si="1"/>
        <v>0</v>
      </c>
      <c r="G14" s="149">
        <v>790821102</v>
      </c>
      <c r="H14" s="230">
        <v>4800</v>
      </c>
      <c r="I14" s="199">
        <f>H14*B14</f>
        <v>0</v>
      </c>
      <c r="J14" s="538">
        <f>ROUNDUP(I14/60,0)</f>
        <v>0</v>
      </c>
      <c r="K14" s="193">
        <v>5160</v>
      </c>
      <c r="L14" s="199">
        <f>$K14*$B14</f>
        <v>0</v>
      </c>
      <c r="M14" s="538">
        <f>L14/60</f>
        <v>0</v>
      </c>
    </row>
    <row r="15" spans="1:15" x14ac:dyDescent="0.2">
      <c r="A15" s="172" t="s">
        <v>382</v>
      </c>
      <c r="B15" s="482">
        <v>0</v>
      </c>
      <c r="C15" s="3"/>
      <c r="D15" s="4">
        <v>1880.25</v>
      </c>
      <c r="E15" s="4"/>
      <c r="F15" s="543">
        <f t="shared" si="1"/>
        <v>0</v>
      </c>
      <c r="G15" s="544">
        <v>708003004</v>
      </c>
      <c r="H15" s="230"/>
      <c r="I15" s="199"/>
      <c r="J15" s="538"/>
      <c r="K15" s="193"/>
      <c r="L15" s="199"/>
      <c r="M15" s="538"/>
    </row>
    <row r="16" spans="1:15" x14ac:dyDescent="0.2">
      <c r="A16" s="186" t="s">
        <v>392</v>
      </c>
      <c r="B16" s="482">
        <v>0</v>
      </c>
      <c r="C16" s="3"/>
      <c r="D16" s="4">
        <v>150.44999999999999</v>
      </c>
      <c r="E16" s="4"/>
      <c r="F16" s="543">
        <f t="shared" si="1"/>
        <v>0</v>
      </c>
      <c r="G16" s="544">
        <v>708003012</v>
      </c>
      <c r="H16" s="230"/>
      <c r="I16" s="199"/>
      <c r="J16" s="538"/>
      <c r="K16" s="193"/>
      <c r="L16" s="199"/>
      <c r="M16" s="538"/>
    </row>
    <row r="17" spans="1:18" customFormat="1" x14ac:dyDescent="0.2">
      <c r="A17" s="809" t="s">
        <v>488</v>
      </c>
      <c r="B17" s="482">
        <v>1</v>
      </c>
      <c r="C17" s="517" t="s">
        <v>12</v>
      </c>
      <c r="D17" s="810">
        <v>1485.75</v>
      </c>
      <c r="E17" s="44"/>
      <c r="F17" s="811">
        <f>B17*D17</f>
        <v>1485.75</v>
      </c>
      <c r="G17" s="813">
        <v>708001102</v>
      </c>
      <c r="H17" s="812"/>
      <c r="I17" s="812"/>
      <c r="J17" s="812"/>
    </row>
    <row r="18" spans="1:18" x14ac:dyDescent="0.2">
      <c r="A18" s="186" t="s">
        <v>390</v>
      </c>
      <c r="B18" s="482">
        <v>0</v>
      </c>
      <c r="C18" s="3"/>
      <c r="D18" s="4">
        <v>3324</v>
      </c>
      <c r="E18" s="4"/>
      <c r="F18" s="536">
        <f t="shared" si="1"/>
        <v>0</v>
      </c>
      <c r="G18" s="537">
        <v>708003007</v>
      </c>
      <c r="H18" s="230"/>
      <c r="I18" s="199"/>
      <c r="J18" s="538"/>
      <c r="K18" s="193"/>
      <c r="L18" s="199"/>
      <c r="M18" s="538"/>
    </row>
    <row r="19" spans="1:18" x14ac:dyDescent="0.2">
      <c r="A19" s="186" t="s">
        <v>391</v>
      </c>
      <c r="B19" s="482">
        <v>0</v>
      </c>
      <c r="C19" s="3"/>
      <c r="D19" s="4">
        <v>215.02</v>
      </c>
      <c r="E19" s="4"/>
      <c r="F19" s="536">
        <f t="shared" si="1"/>
        <v>0</v>
      </c>
      <c r="G19" s="537">
        <v>708003027</v>
      </c>
      <c r="H19" s="230"/>
      <c r="I19" s="199"/>
      <c r="J19" s="538"/>
      <c r="K19" s="193"/>
      <c r="L19" s="199"/>
      <c r="M19" s="538"/>
    </row>
    <row r="20" spans="1:18" x14ac:dyDescent="0.2">
      <c r="A20" s="186" t="s">
        <v>486</v>
      </c>
      <c r="B20" s="482">
        <v>1</v>
      </c>
      <c r="C20" s="3" t="s">
        <v>12</v>
      </c>
      <c r="D20" s="4">
        <v>1143</v>
      </c>
      <c r="E20" s="4"/>
      <c r="F20" s="65">
        <f t="shared" ref="F20" si="2">B20*(D20+E20)*(1+$B$7)</f>
        <v>1143</v>
      </c>
      <c r="G20" s="158">
        <v>790008100</v>
      </c>
      <c r="H20" s="230"/>
      <c r="I20" s="199"/>
      <c r="J20" s="807"/>
      <c r="K20" s="193"/>
      <c r="L20" s="199"/>
      <c r="M20" s="807"/>
    </row>
    <row r="21" spans="1:18" x14ac:dyDescent="0.2">
      <c r="A21" s="186" t="s">
        <v>381</v>
      </c>
      <c r="B21" s="482">
        <v>0</v>
      </c>
      <c r="C21" s="3" t="s">
        <v>12</v>
      </c>
      <c r="D21" s="4">
        <v>1927.3</v>
      </c>
      <c r="E21" s="4"/>
      <c r="F21" s="90">
        <f t="shared" si="1"/>
        <v>0</v>
      </c>
      <c r="G21" s="158">
        <v>790008100</v>
      </c>
      <c r="H21" s="230"/>
      <c r="I21" s="199"/>
      <c r="J21" s="534"/>
      <c r="K21" s="193"/>
      <c r="L21" s="199"/>
      <c r="M21" s="534"/>
    </row>
    <row r="22" spans="1:18" x14ac:dyDescent="0.2">
      <c r="A22" s="186" t="s">
        <v>315</v>
      </c>
      <c r="B22" s="482">
        <v>0</v>
      </c>
      <c r="C22" s="3" t="s">
        <v>12</v>
      </c>
      <c r="D22" s="4">
        <v>3827.8</v>
      </c>
      <c r="E22" s="4"/>
      <c r="F22" s="65">
        <f t="shared" si="0"/>
        <v>0</v>
      </c>
      <c r="G22" s="158">
        <v>790008101</v>
      </c>
      <c r="H22" s="193"/>
      <c r="I22" s="127"/>
      <c r="J22" s="194">
        <f t="shared" ref="J22:J53" si="3">I22/60</f>
        <v>0</v>
      </c>
      <c r="K22" s="193"/>
      <c r="L22" s="127"/>
      <c r="M22" s="206"/>
    </row>
    <row r="23" spans="1:18" x14ac:dyDescent="0.2">
      <c r="A23" s="186" t="s">
        <v>471</v>
      </c>
      <c r="B23" s="482">
        <v>0</v>
      </c>
      <c r="C23" s="3" t="s">
        <v>12</v>
      </c>
      <c r="D23" s="4">
        <v>5402.25</v>
      </c>
      <c r="E23" s="4"/>
      <c r="F23" s="65">
        <f t="shared" ref="F23" si="4">B23*D23</f>
        <v>0</v>
      </c>
      <c r="G23" s="158" t="s">
        <v>472</v>
      </c>
      <c r="H23" s="193"/>
      <c r="I23" s="781"/>
      <c r="J23" s="782">
        <f t="shared" ref="J23" si="5">I23/60</f>
        <v>0</v>
      </c>
      <c r="K23" s="193"/>
      <c r="L23" s="781"/>
      <c r="M23" s="206"/>
    </row>
    <row r="24" spans="1:18" x14ac:dyDescent="0.2">
      <c r="A24" s="186" t="s">
        <v>348</v>
      </c>
      <c r="B24" s="482">
        <v>0</v>
      </c>
      <c r="C24" s="3" t="s">
        <v>12</v>
      </c>
      <c r="D24" s="4">
        <v>622.5</v>
      </c>
      <c r="E24" s="4"/>
      <c r="F24" s="65">
        <f t="shared" ref="F24:F25" si="6">B24*D24</f>
        <v>0</v>
      </c>
      <c r="G24" s="197">
        <v>709000003</v>
      </c>
      <c r="H24" s="193"/>
      <c r="I24" s="127"/>
      <c r="J24" s="194">
        <f t="shared" si="3"/>
        <v>0</v>
      </c>
      <c r="K24" s="193"/>
      <c r="L24" s="127"/>
      <c r="M24" s="206"/>
    </row>
    <row r="25" spans="1:18" ht="12.75" customHeight="1" x14ac:dyDescent="0.2">
      <c r="A25" s="208" t="s">
        <v>347</v>
      </c>
      <c r="B25" s="209">
        <f>B19+B20+B21+B22</f>
        <v>1</v>
      </c>
      <c r="C25" s="3" t="s">
        <v>12</v>
      </c>
      <c r="D25" s="4">
        <v>249.5</v>
      </c>
      <c r="E25" s="4"/>
      <c r="F25" s="65">
        <f t="shared" si="6"/>
        <v>249.5</v>
      </c>
      <c r="G25" s="197">
        <v>708015093</v>
      </c>
      <c r="H25" s="193"/>
      <c r="I25" s="781"/>
      <c r="J25" s="782">
        <f t="shared" ref="J25" si="7">I25/60</f>
        <v>0</v>
      </c>
      <c r="K25" s="193"/>
      <c r="L25" s="781"/>
      <c r="M25" s="206"/>
    </row>
    <row r="26" spans="1:18" ht="12.75" customHeight="1" x14ac:dyDescent="0.2">
      <c r="A26" s="208" t="s">
        <v>473</v>
      </c>
      <c r="B26" s="209">
        <f>B23</f>
        <v>0</v>
      </c>
      <c r="C26" s="3" t="s">
        <v>12</v>
      </c>
      <c r="D26" s="4">
        <v>473.5</v>
      </c>
      <c r="E26" s="4"/>
      <c r="F26" s="65">
        <f t="shared" si="0"/>
        <v>0</v>
      </c>
      <c r="G26" s="197">
        <v>708015094</v>
      </c>
      <c r="H26" s="193"/>
      <c r="I26" s="127"/>
      <c r="J26" s="194">
        <f t="shared" si="3"/>
        <v>0</v>
      </c>
      <c r="K26" s="193"/>
      <c r="L26" s="127"/>
      <c r="M26" s="206"/>
    </row>
    <row r="27" spans="1:18" x14ac:dyDescent="0.2">
      <c r="A27" s="186" t="s">
        <v>349</v>
      </c>
      <c r="B27" s="654">
        <v>1</v>
      </c>
      <c r="C27" s="3" t="s">
        <v>12</v>
      </c>
      <c r="D27" s="4">
        <v>0</v>
      </c>
      <c r="E27" s="4"/>
      <c r="F27" s="65">
        <f t="shared" si="0"/>
        <v>0</v>
      </c>
      <c r="G27" s="51">
        <v>790009001</v>
      </c>
      <c r="H27" s="193">
        <v>60</v>
      </c>
      <c r="I27" s="199">
        <f>H27*B27</f>
        <v>60</v>
      </c>
      <c r="J27" s="194">
        <f t="shared" si="3"/>
        <v>1</v>
      </c>
      <c r="K27" s="193">
        <v>120</v>
      </c>
      <c r="L27" s="199">
        <f>$K27*$B27</f>
        <v>120</v>
      </c>
      <c r="M27" s="726">
        <f>L27/60</f>
        <v>2</v>
      </c>
    </row>
    <row r="28" spans="1:18" s="131" customFormat="1" x14ac:dyDescent="0.2">
      <c r="A28" s="173" t="s">
        <v>316</v>
      </c>
      <c r="B28" s="494">
        <v>0</v>
      </c>
      <c r="C28" s="128" t="s">
        <v>12</v>
      </c>
      <c r="D28" s="129">
        <v>750</v>
      </c>
      <c r="E28" s="129"/>
      <c r="F28" s="157">
        <f t="shared" si="0"/>
        <v>0</v>
      </c>
      <c r="G28" s="130">
        <v>790011001</v>
      </c>
      <c r="H28" s="193"/>
      <c r="I28" s="127"/>
      <c r="J28" s="194">
        <f t="shared" si="3"/>
        <v>0</v>
      </c>
      <c r="K28" s="193"/>
      <c r="L28" s="127"/>
      <c r="M28" s="194"/>
      <c r="R28" s="44"/>
    </row>
    <row r="29" spans="1:18" s="131" customFormat="1" x14ac:dyDescent="0.2">
      <c r="A29" s="173" t="s">
        <v>410</v>
      </c>
      <c r="B29" s="494">
        <v>3</v>
      </c>
      <c r="C29" s="126" t="s">
        <v>12</v>
      </c>
      <c r="D29" s="129">
        <v>250</v>
      </c>
      <c r="E29" s="129"/>
      <c r="F29" s="157">
        <f t="shared" si="0"/>
        <v>750</v>
      </c>
      <c r="G29" s="259" t="s">
        <v>364</v>
      </c>
      <c r="H29" s="193">
        <v>60</v>
      </c>
      <c r="I29" s="199">
        <f>H29*B29</f>
        <v>180</v>
      </c>
      <c r="J29" s="194">
        <f t="shared" si="3"/>
        <v>3</v>
      </c>
      <c r="K29" s="193">
        <v>90</v>
      </c>
      <c r="L29" s="199">
        <f>$K29*$B29</f>
        <v>270</v>
      </c>
      <c r="M29" s="558">
        <f>L29/60</f>
        <v>4.5</v>
      </c>
      <c r="R29" s="44"/>
    </row>
    <row r="30" spans="1:18" s="131" customFormat="1" x14ac:dyDescent="0.2">
      <c r="A30" s="173" t="s">
        <v>411</v>
      </c>
      <c r="B30" s="494">
        <v>3</v>
      </c>
      <c r="C30" s="126" t="s">
        <v>12</v>
      </c>
      <c r="D30" s="129">
        <v>250</v>
      </c>
      <c r="E30" s="129"/>
      <c r="F30" s="157">
        <f t="shared" ref="F30" si="8">B30*D30</f>
        <v>750</v>
      </c>
      <c r="G30" s="259" t="s">
        <v>364</v>
      </c>
      <c r="H30" s="193">
        <v>60</v>
      </c>
      <c r="I30" s="199">
        <f>H30*B30</f>
        <v>180</v>
      </c>
      <c r="J30" s="660">
        <f t="shared" ref="J30" si="9">I30/60</f>
        <v>3</v>
      </c>
      <c r="K30" s="193">
        <v>90</v>
      </c>
      <c r="L30" s="199">
        <f>$K30*$B30</f>
        <v>270</v>
      </c>
      <c r="M30" s="660">
        <f>L30/60</f>
        <v>4.5</v>
      </c>
      <c r="R30" s="44"/>
    </row>
    <row r="31" spans="1:18" s="131" customFormat="1" x14ac:dyDescent="0.2">
      <c r="A31" s="173"/>
      <c r="B31" s="494"/>
      <c r="C31" s="126"/>
      <c r="D31" s="129"/>
      <c r="E31" s="129"/>
      <c r="F31" s="157"/>
      <c r="G31" s="259"/>
      <c r="H31" s="193"/>
      <c r="I31" s="659"/>
      <c r="J31" s="660"/>
      <c r="K31" s="193"/>
      <c r="L31" s="199"/>
      <c r="M31" s="660"/>
      <c r="R31" s="44"/>
    </row>
    <row r="32" spans="1:18" x14ac:dyDescent="0.2">
      <c r="A32" s="172" t="s">
        <v>317</v>
      </c>
      <c r="B32" s="493">
        <v>0</v>
      </c>
      <c r="C32" s="3" t="s">
        <v>12</v>
      </c>
      <c r="D32" s="134">
        <v>1657</v>
      </c>
      <c r="E32" s="134"/>
      <c r="F32" s="65">
        <f t="shared" si="0"/>
        <v>0</v>
      </c>
      <c r="G32" s="51">
        <v>790011000</v>
      </c>
      <c r="H32" s="195"/>
      <c r="I32" s="236"/>
      <c r="J32" s="194">
        <f t="shared" si="3"/>
        <v>0</v>
      </c>
      <c r="K32" s="193"/>
      <c r="L32" s="199">
        <f>$K32*$B32</f>
        <v>0</v>
      </c>
      <c r="M32" s="194">
        <f>L32/60</f>
        <v>0</v>
      </c>
    </row>
    <row r="33" spans="1:20" x14ac:dyDescent="0.2">
      <c r="A33" s="186" t="s">
        <v>352</v>
      </c>
      <c r="B33" s="493">
        <v>0</v>
      </c>
      <c r="C33" s="3" t="s">
        <v>12</v>
      </c>
      <c r="D33" s="134">
        <v>750</v>
      </c>
      <c r="E33" s="134"/>
      <c r="F33" s="65">
        <f t="shared" ref="F33" si="10">B33*D33</f>
        <v>0</v>
      </c>
      <c r="G33" s="51"/>
      <c r="H33" s="195"/>
      <c r="I33" s="3"/>
      <c r="J33" s="194">
        <f t="shared" si="3"/>
        <v>0</v>
      </c>
      <c r="K33" s="193">
        <v>0</v>
      </c>
      <c r="L33" s="199">
        <f>$K33*$B33</f>
        <v>0</v>
      </c>
      <c r="M33" s="194">
        <f>L33/60</f>
        <v>0</v>
      </c>
    </row>
    <row r="34" spans="1:20" ht="13.5" thickBot="1" x14ac:dyDescent="0.25">
      <c r="A34" s="231" t="s">
        <v>17</v>
      </c>
      <c r="B34" s="483">
        <v>1</v>
      </c>
      <c r="C34" s="175" t="s">
        <v>0</v>
      </c>
      <c r="D34" s="176" t="s">
        <v>0</v>
      </c>
      <c r="E34" s="176"/>
      <c r="F34" s="177">
        <f>SUM(F12:F33)*B34</f>
        <v>6378.25</v>
      </c>
      <c r="G34" s="192"/>
      <c r="H34" s="232"/>
      <c r="I34" s="196">
        <f>SUM(I12:I33)</f>
        <v>1620</v>
      </c>
      <c r="J34" s="203">
        <f>SUM(J12:J33)*B34</f>
        <v>27</v>
      </c>
      <c r="K34" s="210"/>
      <c r="L34" s="201">
        <f>(L12+L13+L32+L33)*B34</f>
        <v>1800</v>
      </c>
      <c r="M34" s="203">
        <f>SUM(M12:M33)*B34</f>
        <v>41</v>
      </c>
    </row>
    <row r="35" spans="1:20" ht="13.5" thickBot="1" x14ac:dyDescent="0.25">
      <c r="A35" s="223"/>
      <c r="B35" s="473"/>
      <c r="C35" s="474"/>
      <c r="D35" s="475"/>
      <c r="E35" s="475"/>
      <c r="F35" s="476"/>
      <c r="G35" s="224"/>
      <c r="H35" s="152"/>
      <c r="I35" s="477"/>
      <c r="J35" s="477"/>
      <c r="K35" s="152"/>
      <c r="L35" s="477"/>
      <c r="M35" s="478"/>
      <c r="N35" s="150"/>
      <c r="O35" s="150"/>
    </row>
    <row r="36" spans="1:20" s="144" customFormat="1" ht="25.5" x14ac:dyDescent="0.2">
      <c r="A36" s="225" t="s">
        <v>479</v>
      </c>
      <c r="B36" s="226" t="s">
        <v>6</v>
      </c>
      <c r="C36" s="226"/>
      <c r="D36" s="227" t="s">
        <v>13</v>
      </c>
      <c r="E36" s="227"/>
      <c r="F36" s="227" t="s">
        <v>14</v>
      </c>
      <c r="G36" s="227" t="s">
        <v>371</v>
      </c>
      <c r="H36" s="479" t="s">
        <v>374</v>
      </c>
      <c r="I36" s="227" t="s">
        <v>375</v>
      </c>
      <c r="J36" s="480" t="s">
        <v>376</v>
      </c>
      <c r="K36" s="479" t="s">
        <v>374</v>
      </c>
      <c r="L36" s="227" t="s">
        <v>375</v>
      </c>
      <c r="M36" s="750" t="s">
        <v>376</v>
      </c>
      <c r="N36" s="752" t="s">
        <v>455</v>
      </c>
      <c r="O36" s="752" t="s">
        <v>456</v>
      </c>
      <c r="P36" s="753" t="s">
        <v>370</v>
      </c>
      <c r="Q36" s="485" t="s">
        <v>377</v>
      </c>
      <c r="R36" s="44"/>
    </row>
    <row r="37" spans="1:20" s="131" customFormat="1" ht="13.5" thickBot="1" x14ac:dyDescent="0.25">
      <c r="A37" s="181"/>
      <c r="B37" s="255">
        <f>DECKBLATT!B8</f>
        <v>0</v>
      </c>
      <c r="C37" s="470" t="s">
        <v>12</v>
      </c>
      <c r="D37" s="472">
        <v>1000</v>
      </c>
      <c r="E37" s="472"/>
      <c r="F37" s="182">
        <f>D37*B37</f>
        <v>0</v>
      </c>
      <c r="G37" s="470">
        <v>790820210</v>
      </c>
      <c r="H37" s="241">
        <v>1200</v>
      </c>
      <c r="I37" s="201">
        <f>H37*B37</f>
        <v>0</v>
      </c>
      <c r="J37" s="241">
        <f>I37/60</f>
        <v>0</v>
      </c>
      <c r="K37" s="241">
        <v>1200</v>
      </c>
      <c r="L37" s="201">
        <f>K37*B37</f>
        <v>0</v>
      </c>
      <c r="M37" s="203">
        <f>L37/60</f>
        <v>0</v>
      </c>
      <c r="N37" s="804">
        <f>B37*2</f>
        <v>0</v>
      </c>
      <c r="O37" s="761">
        <f>B37*4</f>
        <v>0</v>
      </c>
      <c r="P37" s="632">
        <f>N37*B37+Q37</f>
        <v>0</v>
      </c>
      <c r="Q37" s="495">
        <v>0</v>
      </c>
      <c r="R37" s="44"/>
    </row>
    <row r="38" spans="1:20" ht="13.5" thickBot="1" x14ac:dyDescent="0.25">
      <c r="A38" s="54"/>
      <c r="D38" s="55"/>
      <c r="E38" s="55"/>
      <c r="F38" s="229"/>
      <c r="G38" s="150"/>
      <c r="H38" s="133"/>
      <c r="I38" s="133"/>
      <c r="J38" s="133">
        <f t="shared" si="3"/>
        <v>0</v>
      </c>
      <c r="K38" s="133"/>
      <c r="L38" s="133"/>
      <c r="M38" s="160"/>
      <c r="N38" s="135"/>
      <c r="O38" s="135"/>
      <c r="P38" s="135"/>
    </row>
    <row r="39" spans="1:20" s="144" customFormat="1" ht="25.5" customHeight="1" x14ac:dyDescent="0.2">
      <c r="A39" s="890" t="s">
        <v>481</v>
      </c>
      <c r="B39" s="226" t="s">
        <v>6</v>
      </c>
      <c r="C39" s="226"/>
      <c r="D39" s="227" t="s">
        <v>13</v>
      </c>
      <c r="E39" s="227"/>
      <c r="F39" s="227" t="s">
        <v>14</v>
      </c>
      <c r="G39" s="227" t="s">
        <v>371</v>
      </c>
      <c r="H39" s="227" t="s">
        <v>327</v>
      </c>
      <c r="I39" s="227" t="s">
        <v>372</v>
      </c>
      <c r="J39" s="226" t="s">
        <v>373</v>
      </c>
      <c r="K39" s="227"/>
      <c r="L39" s="227"/>
      <c r="M39" s="228"/>
      <c r="N39" s="879">
        <f>Mengengerüst!B59+Mengengerüst!B60+Mengengerüst!B61</f>
        <v>1</v>
      </c>
      <c r="O39" s="882">
        <f>Mengengerüst!B62+Mengengerüst!B63+Mengengerüst!B64+Mengengerüst!B65+Mengengerüst!B101+Mengengerüst!B102+Mengengerüst!B103+Mengengerüst!B104+Mengengerüst!B105</f>
        <v>6</v>
      </c>
      <c r="P39" s="885">
        <f>N39+O39</f>
        <v>7</v>
      </c>
      <c r="Q39" s="739"/>
      <c r="R39" s="44"/>
      <c r="S39" s="417"/>
      <c r="T39" s="131"/>
    </row>
    <row r="40" spans="1:20" s="131" customFormat="1" ht="13.5" thickBot="1" x14ac:dyDescent="0.25">
      <c r="A40" s="891"/>
      <c r="B40" s="484">
        <v>0</v>
      </c>
      <c r="C40" s="470" t="s">
        <v>12</v>
      </c>
      <c r="D40" s="471">
        <v>1000</v>
      </c>
      <c r="E40" s="471"/>
      <c r="F40" s="182">
        <f>D40*B40</f>
        <v>0</v>
      </c>
      <c r="G40" s="470" t="s">
        <v>318</v>
      </c>
      <c r="H40" s="241">
        <v>720</v>
      </c>
      <c r="I40" s="201">
        <f>H40*B40</f>
        <v>0</v>
      </c>
      <c r="J40" s="241">
        <f>I40/60</f>
        <v>0</v>
      </c>
      <c r="K40" s="241">
        <v>1020</v>
      </c>
      <c r="L40" s="201">
        <f>K40*B40</f>
        <v>0</v>
      </c>
      <c r="M40" s="203">
        <f>L40/60</f>
        <v>0</v>
      </c>
      <c r="N40" s="880"/>
      <c r="O40" s="883"/>
      <c r="P40" s="886"/>
      <c r="Q40" s="738">
        <v>0</v>
      </c>
      <c r="R40" s="44"/>
    </row>
    <row r="41" spans="1:20" s="131" customFormat="1" ht="13.5" thickBot="1" x14ac:dyDescent="0.25">
      <c r="A41" s="156"/>
      <c r="B41" s="136"/>
      <c r="C41" s="132"/>
      <c r="D41" s="132"/>
      <c r="E41" s="132"/>
      <c r="F41" s="221"/>
      <c r="G41" s="132"/>
      <c r="H41" s="133"/>
      <c r="I41" s="133"/>
      <c r="J41" s="133">
        <f>I41/60</f>
        <v>0</v>
      </c>
      <c r="K41" s="133"/>
      <c r="L41" s="133"/>
      <c r="M41" s="152"/>
      <c r="N41" s="880"/>
      <c r="O41" s="883"/>
      <c r="P41" s="886"/>
      <c r="R41" s="44"/>
      <c r="S41" s="734"/>
    </row>
    <row r="42" spans="1:20" s="131" customFormat="1" ht="25.5" customHeight="1" x14ac:dyDescent="0.2">
      <c r="A42" s="888" t="s">
        <v>482</v>
      </c>
      <c r="B42" s="226" t="s">
        <v>6</v>
      </c>
      <c r="C42" s="226"/>
      <c r="D42" s="227" t="s">
        <v>13</v>
      </c>
      <c r="E42" s="227"/>
      <c r="F42" s="227" t="s">
        <v>14</v>
      </c>
      <c r="G42" s="227" t="s">
        <v>371</v>
      </c>
      <c r="H42" s="227" t="s">
        <v>327</v>
      </c>
      <c r="I42" s="227" t="s">
        <v>372</v>
      </c>
      <c r="J42" s="226" t="s">
        <v>373</v>
      </c>
      <c r="K42" s="180"/>
      <c r="L42" s="180"/>
      <c r="M42" s="212"/>
      <c r="N42" s="880"/>
      <c r="O42" s="883"/>
      <c r="P42" s="886"/>
      <c r="Q42" s="739"/>
      <c r="R42" s="44"/>
      <c r="S42" s="734"/>
    </row>
    <row r="43" spans="1:20" s="131" customFormat="1" ht="13.5" thickBot="1" x14ac:dyDescent="0.25">
      <c r="A43" s="889"/>
      <c r="B43" s="484">
        <v>1</v>
      </c>
      <c r="C43" s="470" t="s">
        <v>12</v>
      </c>
      <c r="D43" s="471">
        <v>400</v>
      </c>
      <c r="E43" s="471"/>
      <c r="F43" s="182">
        <f>D43*B43</f>
        <v>400</v>
      </c>
      <c r="G43" s="470" t="s">
        <v>319</v>
      </c>
      <c r="H43" s="241">
        <v>600</v>
      </c>
      <c r="I43" s="201">
        <f>H43*B43</f>
        <v>600</v>
      </c>
      <c r="J43" s="241">
        <f>I43/60</f>
        <v>10</v>
      </c>
      <c r="K43" s="251">
        <v>1200</v>
      </c>
      <c r="L43" s="201">
        <f>K43*B43</f>
        <v>1200</v>
      </c>
      <c r="M43" s="203">
        <f>L43/60</f>
        <v>20</v>
      </c>
      <c r="N43" s="880"/>
      <c r="O43" s="883"/>
      <c r="P43" s="886"/>
      <c r="Q43" s="738">
        <v>0</v>
      </c>
      <c r="R43" s="44"/>
      <c r="S43" s="734"/>
    </row>
    <row r="44" spans="1:20" s="131" customFormat="1" ht="13.5" thickBot="1" x14ac:dyDescent="0.25">
      <c r="A44" s="178"/>
      <c r="B44" s="136"/>
      <c r="C44" s="132"/>
      <c r="D44" s="132"/>
      <c r="E44" s="132"/>
      <c r="F44" s="137"/>
      <c r="G44" s="132"/>
      <c r="H44" s="133"/>
      <c r="I44" s="133"/>
      <c r="J44" s="133">
        <f t="shared" si="3"/>
        <v>0</v>
      </c>
      <c r="K44" s="133"/>
      <c r="L44" s="133"/>
      <c r="M44" s="152"/>
      <c r="N44" s="880"/>
      <c r="O44" s="883"/>
      <c r="P44" s="886"/>
      <c r="R44" s="44"/>
      <c r="S44" s="734"/>
    </row>
    <row r="45" spans="1:20" s="144" customFormat="1" ht="38.25" customHeight="1" x14ac:dyDescent="0.2">
      <c r="A45" s="888" t="s">
        <v>418</v>
      </c>
      <c r="B45" s="226" t="s">
        <v>6</v>
      </c>
      <c r="C45" s="226"/>
      <c r="D45" s="227" t="s">
        <v>13</v>
      </c>
      <c r="E45" s="227"/>
      <c r="F45" s="227" t="s">
        <v>14</v>
      </c>
      <c r="G45" s="227" t="s">
        <v>371</v>
      </c>
      <c r="H45" s="227" t="s">
        <v>327</v>
      </c>
      <c r="I45" s="227" t="s">
        <v>372</v>
      </c>
      <c r="J45" s="226" t="s">
        <v>373</v>
      </c>
      <c r="K45" s="227"/>
      <c r="L45" s="227"/>
      <c r="M45" s="748"/>
      <c r="N45" s="880"/>
      <c r="O45" s="883"/>
      <c r="P45" s="886"/>
      <c r="Q45" s="739"/>
      <c r="R45" s="44"/>
      <c r="S45" s="734"/>
    </row>
    <row r="46" spans="1:20" s="131" customFormat="1" ht="13.5" thickBot="1" x14ac:dyDescent="0.25">
      <c r="A46" s="889"/>
      <c r="B46" s="484">
        <v>0</v>
      </c>
      <c r="C46" s="470" t="s">
        <v>12</v>
      </c>
      <c r="D46" s="471">
        <v>700</v>
      </c>
      <c r="E46" s="471"/>
      <c r="F46" s="182">
        <f>D46*B46</f>
        <v>0</v>
      </c>
      <c r="G46" s="749">
        <v>790820210</v>
      </c>
      <c r="H46" s="241">
        <v>810</v>
      </c>
      <c r="I46" s="201">
        <f>H46*B46</f>
        <v>0</v>
      </c>
      <c r="J46" s="241">
        <f>I46/60</f>
        <v>0</v>
      </c>
      <c r="K46" s="241">
        <v>1140</v>
      </c>
      <c r="L46" s="201">
        <f>K46*B46</f>
        <v>0</v>
      </c>
      <c r="M46" s="203">
        <f>L46/60</f>
        <v>0</v>
      </c>
      <c r="N46" s="880"/>
      <c r="O46" s="883"/>
      <c r="P46" s="886"/>
      <c r="Q46" s="740">
        <v>0</v>
      </c>
      <c r="R46" s="44"/>
      <c r="S46" s="734"/>
    </row>
    <row r="47" spans="1:20" s="131" customFormat="1" ht="13.5" thickBot="1" x14ac:dyDescent="0.25">
      <c r="A47" s="156"/>
      <c r="B47" s="136"/>
      <c r="C47" s="132"/>
      <c r="D47" s="132"/>
      <c r="E47" s="132"/>
      <c r="F47" s="221"/>
      <c r="G47" s="132"/>
      <c r="H47" s="133"/>
      <c r="I47" s="133"/>
      <c r="J47" s="133">
        <f>I47/60</f>
        <v>0</v>
      </c>
      <c r="K47" s="133"/>
      <c r="L47" s="133"/>
      <c r="M47" s="152"/>
      <c r="N47" s="880"/>
      <c r="O47" s="883"/>
      <c r="P47" s="886"/>
      <c r="R47" s="44"/>
      <c r="S47" s="734"/>
    </row>
    <row r="48" spans="1:20" s="131" customFormat="1" ht="38.25" customHeight="1" x14ac:dyDescent="0.2">
      <c r="A48" s="888" t="s">
        <v>366</v>
      </c>
      <c r="B48" s="226" t="s">
        <v>6</v>
      </c>
      <c r="C48" s="226"/>
      <c r="D48" s="227" t="s">
        <v>13</v>
      </c>
      <c r="E48" s="227"/>
      <c r="F48" s="227" t="s">
        <v>14</v>
      </c>
      <c r="G48" s="227" t="s">
        <v>371</v>
      </c>
      <c r="H48" s="227" t="s">
        <v>327</v>
      </c>
      <c r="I48" s="227" t="s">
        <v>372</v>
      </c>
      <c r="J48" s="226" t="s">
        <v>373</v>
      </c>
      <c r="K48" s="180"/>
      <c r="L48" s="180"/>
      <c r="M48" s="212"/>
      <c r="N48" s="880"/>
      <c r="O48" s="883"/>
      <c r="P48" s="886"/>
      <c r="Q48" s="739"/>
      <c r="R48" s="44"/>
      <c r="S48" s="734"/>
    </row>
    <row r="49" spans="1:20" s="131" customFormat="1" ht="13.5" thickBot="1" x14ac:dyDescent="0.25">
      <c r="A49" s="891"/>
      <c r="B49" s="732">
        <v>0</v>
      </c>
      <c r="C49" s="741" t="s">
        <v>12</v>
      </c>
      <c r="D49" s="742">
        <v>1100</v>
      </c>
      <c r="E49" s="742"/>
      <c r="F49" s="743">
        <f>D49*B49</f>
        <v>0</v>
      </c>
      <c r="G49" s="744">
        <v>790820210</v>
      </c>
      <c r="H49" s="745">
        <v>1110</v>
      </c>
      <c r="I49" s="746">
        <f>H49*B49</f>
        <v>0</v>
      </c>
      <c r="J49" s="745">
        <f>I49/60</f>
        <v>0</v>
      </c>
      <c r="K49" s="745">
        <v>1140</v>
      </c>
      <c r="L49" s="746">
        <f>K49*B49</f>
        <v>0</v>
      </c>
      <c r="M49" s="747">
        <f>L49/60</f>
        <v>0</v>
      </c>
      <c r="N49" s="881"/>
      <c r="O49" s="884"/>
      <c r="P49" s="887"/>
      <c r="Q49" s="652">
        <v>0</v>
      </c>
      <c r="R49" s="44"/>
      <c r="S49" s="734"/>
    </row>
    <row r="50" spans="1:20" ht="13.5" thickBot="1" x14ac:dyDescent="0.25">
      <c r="A50" s="54"/>
      <c r="D50" s="55"/>
      <c r="E50" s="55"/>
      <c r="F50" s="229"/>
      <c r="G50" s="150"/>
      <c r="H50" s="133"/>
      <c r="I50" s="133"/>
      <c r="J50" s="133">
        <f t="shared" ref="J50" si="11">I50/60</f>
        <v>0</v>
      </c>
      <c r="K50" s="133"/>
      <c r="L50" s="133"/>
      <c r="M50" s="160"/>
      <c r="N50" s="737"/>
      <c r="O50" s="135"/>
      <c r="P50" s="135"/>
    </row>
    <row r="51" spans="1:20" s="144" customFormat="1" ht="26.25" thickBot="1" x14ac:dyDescent="0.25">
      <c r="A51" s="225" t="s">
        <v>404</v>
      </c>
      <c r="B51" s="226" t="s">
        <v>6</v>
      </c>
      <c r="C51" s="226"/>
      <c r="D51" s="227" t="s">
        <v>13</v>
      </c>
      <c r="E51" s="227"/>
      <c r="F51" s="227" t="s">
        <v>14</v>
      </c>
      <c r="G51" s="227" t="s">
        <v>371</v>
      </c>
      <c r="H51" s="227" t="s">
        <v>327</v>
      </c>
      <c r="I51" s="227" t="s">
        <v>372</v>
      </c>
      <c r="J51" s="226" t="s">
        <v>373</v>
      </c>
      <c r="K51" s="227"/>
      <c r="L51" s="227"/>
      <c r="M51" s="228"/>
      <c r="N51" s="754"/>
      <c r="O51" s="755"/>
      <c r="P51" s="756"/>
      <c r="Q51" s="485"/>
      <c r="R51" s="44"/>
    </row>
    <row r="52" spans="1:20" s="131" customFormat="1" ht="13.5" thickBot="1" x14ac:dyDescent="0.25">
      <c r="A52" s="481" t="s">
        <v>132</v>
      </c>
      <c r="B52" s="484">
        <v>0</v>
      </c>
      <c r="C52" s="470" t="s">
        <v>12</v>
      </c>
      <c r="D52" s="471">
        <v>700</v>
      </c>
      <c r="E52" s="471"/>
      <c r="F52" s="182">
        <f>D52*B52</f>
        <v>0</v>
      </c>
      <c r="G52" s="470" t="s">
        <v>440</v>
      </c>
      <c r="H52" s="241">
        <v>1200</v>
      </c>
      <c r="I52" s="201">
        <f>H52*B52</f>
        <v>0</v>
      </c>
      <c r="J52" s="241">
        <f>ROUNDDOWN(I52/60,0)</f>
        <v>0</v>
      </c>
      <c r="K52" s="241">
        <v>1200</v>
      </c>
      <c r="L52" s="201">
        <f>K52*B52</f>
        <v>0</v>
      </c>
      <c r="M52" s="203">
        <f>L52/60</f>
        <v>0</v>
      </c>
      <c r="N52" s="762"/>
      <c r="O52" s="763">
        <f>Mengengerüst!B132+Mengengerüst!B131</f>
        <v>1</v>
      </c>
      <c r="P52" s="764">
        <f>N52+O52</f>
        <v>1</v>
      </c>
      <c r="Q52" s="738">
        <v>0</v>
      </c>
      <c r="R52" s="44"/>
    </row>
    <row r="53" spans="1:20" ht="13.5" thickBot="1" x14ac:dyDescent="0.25">
      <c r="A53" s="159"/>
      <c r="B53" s="160"/>
      <c r="C53" s="161"/>
      <c r="D53" s="150"/>
      <c r="E53" s="150"/>
      <c r="F53" s="162"/>
      <c r="G53" s="150"/>
      <c r="H53" s="133"/>
      <c r="I53" s="133"/>
      <c r="J53" s="133">
        <f t="shared" si="3"/>
        <v>0</v>
      </c>
      <c r="K53" s="133"/>
      <c r="L53" s="133"/>
      <c r="M53" s="154"/>
      <c r="N53" s="220"/>
      <c r="O53" s="220"/>
      <c r="P53" s="135"/>
    </row>
    <row r="54" spans="1:20" s="138" customFormat="1" ht="15" customHeight="1" x14ac:dyDescent="0.2">
      <c r="A54" s="235" t="s">
        <v>422</v>
      </c>
      <c r="B54" s="226" t="s">
        <v>6</v>
      </c>
      <c r="C54" s="226"/>
      <c r="D54" s="227" t="s">
        <v>13</v>
      </c>
      <c r="E54" s="227"/>
      <c r="F54" s="227" t="s">
        <v>14</v>
      </c>
      <c r="G54" s="227" t="s">
        <v>371</v>
      </c>
      <c r="H54" s="227" t="s">
        <v>327</v>
      </c>
      <c r="I54" s="227" t="s">
        <v>372</v>
      </c>
      <c r="J54" s="226" t="s">
        <v>373</v>
      </c>
      <c r="K54" s="180"/>
      <c r="L54" s="180"/>
      <c r="M54" s="622"/>
      <c r="N54" s="882"/>
      <c r="O54" s="892">
        <f>Mengengerüst!B35</f>
        <v>11</v>
      </c>
      <c r="P54" s="892">
        <f>N54+O54</f>
        <v>11</v>
      </c>
      <c r="Q54" s="485"/>
      <c r="R54" s="44"/>
    </row>
    <row r="55" spans="1:20" s="139" customFormat="1" ht="15.75" customHeight="1" thickBot="1" x14ac:dyDescent="0.25">
      <c r="A55" s="481" t="s">
        <v>132</v>
      </c>
      <c r="B55" s="255">
        <f>IF(Mengengerüst!$B$27="NEIN",ROUNDUP(Mengengerüst!B26/5,0))+B56</f>
        <v>3</v>
      </c>
      <c r="C55" s="470" t="s">
        <v>12</v>
      </c>
      <c r="D55" s="471">
        <v>700</v>
      </c>
      <c r="E55" s="471"/>
      <c r="F55" s="182">
        <f>D55*B55</f>
        <v>2100</v>
      </c>
      <c r="G55" s="470" t="s">
        <v>452</v>
      </c>
      <c r="H55" s="241">
        <v>960</v>
      </c>
      <c r="I55" s="201">
        <f>H55*B55</f>
        <v>2880</v>
      </c>
      <c r="J55" s="241">
        <f>I55/60</f>
        <v>48</v>
      </c>
      <c r="K55" s="241">
        <v>1020</v>
      </c>
      <c r="L55" s="201">
        <f>K55*B55</f>
        <v>3060</v>
      </c>
      <c r="M55" s="248">
        <f>L55/60</f>
        <v>51</v>
      </c>
      <c r="N55" s="883"/>
      <c r="O55" s="893"/>
      <c r="P55" s="893"/>
      <c r="Q55" s="495">
        <v>0</v>
      </c>
      <c r="R55" s="44"/>
    </row>
    <row r="56" spans="1:20" s="139" customFormat="1" ht="15.75" customHeight="1" thickBot="1" x14ac:dyDescent="0.25">
      <c r="A56" s="618" t="s">
        <v>380</v>
      </c>
      <c r="B56" s="619">
        <v>0</v>
      </c>
      <c r="C56" s="132"/>
      <c r="D56" s="132"/>
      <c r="E56" s="132"/>
      <c r="G56" s="132"/>
      <c r="H56" s="152"/>
      <c r="K56" s="220"/>
      <c r="M56" s="621"/>
      <c r="N56" s="883"/>
      <c r="O56" s="893"/>
      <c r="P56" s="893"/>
      <c r="R56" s="44"/>
    </row>
    <row r="57" spans="1:20" ht="13.5" customHeight="1" thickBot="1" x14ac:dyDescent="0.25">
      <c r="A57" s="159"/>
      <c r="B57" s="160"/>
      <c r="C57" s="161"/>
      <c r="D57" s="150"/>
      <c r="E57" s="150"/>
      <c r="F57" s="162"/>
      <c r="G57" s="150"/>
      <c r="H57" s="133"/>
      <c r="I57" s="133"/>
      <c r="J57" s="133">
        <f t="shared" ref="J57" si="12">I57/60</f>
        <v>0</v>
      </c>
      <c r="K57" s="133"/>
      <c r="L57" s="133"/>
      <c r="M57" s="154"/>
      <c r="N57" s="883"/>
      <c r="O57" s="893"/>
      <c r="P57" s="893"/>
    </row>
    <row r="58" spans="1:20" s="138" customFormat="1" ht="15" customHeight="1" x14ac:dyDescent="0.2">
      <c r="A58" s="235" t="s">
        <v>439</v>
      </c>
      <c r="B58" s="226" t="s">
        <v>6</v>
      </c>
      <c r="C58" s="226"/>
      <c r="D58" s="227" t="s">
        <v>13</v>
      </c>
      <c r="E58" s="227"/>
      <c r="F58" s="227" t="s">
        <v>14</v>
      </c>
      <c r="G58" s="227" t="s">
        <v>371</v>
      </c>
      <c r="H58" s="227" t="s">
        <v>327</v>
      </c>
      <c r="I58" s="227" t="s">
        <v>372</v>
      </c>
      <c r="J58" s="226" t="s">
        <v>373</v>
      </c>
      <c r="K58" s="180"/>
      <c r="L58" s="180"/>
      <c r="M58" s="622"/>
      <c r="N58" s="883"/>
      <c r="O58" s="893"/>
      <c r="P58" s="893"/>
      <c r="Q58" s="485"/>
      <c r="R58" s="44"/>
    </row>
    <row r="59" spans="1:20" s="139" customFormat="1" ht="15.75" customHeight="1" thickBot="1" x14ac:dyDescent="0.25">
      <c r="A59" s="481" t="s">
        <v>132</v>
      </c>
      <c r="B59" s="255">
        <f>IF(Mengengerüst!$B$27="NEIN",ROUNDUP(Mengengerüst!$B$26/10,0))</f>
        <v>2</v>
      </c>
      <c r="C59" s="470" t="s">
        <v>12</v>
      </c>
      <c r="D59" s="471">
        <v>800</v>
      </c>
      <c r="E59" s="471">
        <v>0</v>
      </c>
      <c r="F59" s="182">
        <f>D59*B59+E59</f>
        <v>1600</v>
      </c>
      <c r="G59" s="470" t="s">
        <v>440</v>
      </c>
      <c r="H59" s="241">
        <v>1020</v>
      </c>
      <c r="I59" s="201">
        <f>H59*B59</f>
        <v>2040</v>
      </c>
      <c r="J59" s="241">
        <f>I59/60</f>
        <v>34</v>
      </c>
      <c r="K59" s="241">
        <v>1080</v>
      </c>
      <c r="L59" s="201">
        <f>K59*B59</f>
        <v>2160</v>
      </c>
      <c r="M59" s="248">
        <f>L59/60</f>
        <v>36</v>
      </c>
      <c r="N59" s="883"/>
      <c r="O59" s="893"/>
      <c r="P59" s="893"/>
      <c r="Q59" s="495">
        <v>0</v>
      </c>
      <c r="R59" s="44"/>
    </row>
    <row r="60" spans="1:20" s="139" customFormat="1" ht="15.75" customHeight="1" thickBot="1" x14ac:dyDescent="0.25">
      <c r="A60" s="618"/>
      <c r="B60" s="619"/>
      <c r="C60" s="132"/>
      <c r="D60" s="132"/>
      <c r="E60" s="132"/>
      <c r="G60" s="132"/>
      <c r="H60" s="152"/>
      <c r="K60" s="220"/>
      <c r="M60" s="621"/>
      <c r="N60" s="883"/>
      <c r="O60" s="893"/>
      <c r="P60" s="893"/>
      <c r="R60" s="44"/>
    </row>
    <row r="61" spans="1:20" ht="13.5" customHeight="1" thickBot="1" x14ac:dyDescent="0.25">
      <c r="A61" s="159"/>
      <c r="B61" s="160"/>
      <c r="C61" s="161"/>
      <c r="D61" s="150"/>
      <c r="E61" s="150"/>
      <c r="F61" s="162"/>
      <c r="G61" s="150"/>
      <c r="H61" s="133"/>
      <c r="I61" s="133"/>
      <c r="J61" s="133">
        <f t="shared" ref="J61" si="13">I61/60</f>
        <v>0</v>
      </c>
      <c r="K61" s="133"/>
      <c r="L61" s="133"/>
      <c r="M61" s="154"/>
      <c r="N61" s="883"/>
      <c r="O61" s="893"/>
      <c r="P61" s="893"/>
    </row>
    <row r="62" spans="1:20" s="138" customFormat="1" ht="25.5" customHeight="1" x14ac:dyDescent="0.2">
      <c r="A62" s="708" t="s">
        <v>434</v>
      </c>
      <c r="B62" s="226" t="s">
        <v>6</v>
      </c>
      <c r="C62" s="226"/>
      <c r="D62" s="227" t="s">
        <v>13</v>
      </c>
      <c r="E62" s="227"/>
      <c r="F62" s="227" t="s">
        <v>14</v>
      </c>
      <c r="G62" s="227" t="s">
        <v>371</v>
      </c>
      <c r="H62" s="227" t="s">
        <v>327</v>
      </c>
      <c r="I62" s="227" t="s">
        <v>372</v>
      </c>
      <c r="J62" s="226" t="s">
        <v>373</v>
      </c>
      <c r="K62" s="180"/>
      <c r="L62" s="180"/>
      <c r="M62" s="622"/>
      <c r="N62" s="883"/>
      <c r="O62" s="893"/>
      <c r="P62" s="893"/>
      <c r="Q62" s="485"/>
      <c r="R62" s="44"/>
    </row>
    <row r="63" spans="1:20" s="139" customFormat="1" ht="15.75" customHeight="1" thickBot="1" x14ac:dyDescent="0.25">
      <c r="A63" s="481" t="s">
        <v>132</v>
      </c>
      <c r="B63" s="255">
        <f>IF(Mengengerüst!$B$27="JA",ROUNDUP(Mengengerüst!B26/3,0),0)</f>
        <v>0</v>
      </c>
      <c r="C63" s="470" t="s">
        <v>12</v>
      </c>
      <c r="D63" s="471">
        <v>1000</v>
      </c>
      <c r="E63" s="471">
        <v>0</v>
      </c>
      <c r="F63" s="182">
        <f>D63*B63+E63</f>
        <v>0</v>
      </c>
      <c r="G63" s="470" t="s">
        <v>435</v>
      </c>
      <c r="H63" s="241">
        <v>1200</v>
      </c>
      <c r="I63" s="201">
        <f>H63*B63</f>
        <v>0</v>
      </c>
      <c r="J63" s="241">
        <f>I63/60</f>
        <v>0</v>
      </c>
      <c r="K63" s="241">
        <v>1500</v>
      </c>
      <c r="L63" s="201">
        <f>K63*B63</f>
        <v>0</v>
      </c>
      <c r="M63" s="248">
        <f>L63/60</f>
        <v>0</v>
      </c>
      <c r="N63" s="884"/>
      <c r="O63" s="894"/>
      <c r="P63" s="894"/>
      <c r="Q63" s="495">
        <v>0</v>
      </c>
      <c r="R63" s="44"/>
      <c r="T63" s="131"/>
    </row>
    <row r="64" spans="1:20" s="139" customFormat="1" ht="15.75" customHeight="1" thickBot="1" x14ac:dyDescent="0.25">
      <c r="A64" s="618" t="s">
        <v>380</v>
      </c>
      <c r="B64" s="619">
        <v>0</v>
      </c>
      <c r="C64" s="132"/>
      <c r="D64" s="132"/>
      <c r="E64" s="132"/>
      <c r="G64" s="132"/>
      <c r="H64" s="152"/>
      <c r="K64" s="220"/>
      <c r="M64" s="621"/>
      <c r="N64" s="220"/>
      <c r="O64" s="757"/>
      <c r="P64" s="735"/>
      <c r="R64" s="44"/>
    </row>
    <row r="65" spans="1:20" s="138" customFormat="1" ht="15" customHeight="1" x14ac:dyDescent="0.2">
      <c r="A65" s="235" t="s">
        <v>397</v>
      </c>
      <c r="B65" s="226" t="s">
        <v>6</v>
      </c>
      <c r="C65" s="226"/>
      <c r="D65" s="227" t="s">
        <v>13</v>
      </c>
      <c r="E65" s="227"/>
      <c r="F65" s="227" t="s">
        <v>14</v>
      </c>
      <c r="G65" s="227" t="s">
        <v>371</v>
      </c>
      <c r="H65" s="227" t="s">
        <v>327</v>
      </c>
      <c r="I65" s="227" t="s">
        <v>372</v>
      </c>
      <c r="J65" s="226" t="s">
        <v>373</v>
      </c>
      <c r="K65" s="180"/>
      <c r="L65" s="180"/>
      <c r="M65" s="622"/>
      <c r="N65" s="220"/>
      <c r="O65" s="780"/>
      <c r="P65" s="220"/>
      <c r="Q65" s="739"/>
      <c r="R65" s="44"/>
    </row>
    <row r="66" spans="1:20" s="139" customFormat="1" ht="15.75" customHeight="1" thickBot="1" x14ac:dyDescent="0.25">
      <c r="A66" s="481" t="s">
        <v>132</v>
      </c>
      <c r="B66" s="620">
        <v>0</v>
      </c>
      <c r="C66" s="470" t="s">
        <v>12</v>
      </c>
      <c r="D66" s="547">
        <v>5027</v>
      </c>
      <c r="E66" s="547"/>
      <c r="F66" s="182">
        <f>D66*B66</f>
        <v>0</v>
      </c>
      <c r="G66" s="548">
        <v>790820300</v>
      </c>
      <c r="H66" s="241">
        <v>3000</v>
      </c>
      <c r="I66" s="201">
        <f>H66*B66</f>
        <v>0</v>
      </c>
      <c r="J66" s="241">
        <f>I66/60</f>
        <v>0</v>
      </c>
      <c r="K66" s="241">
        <v>3600</v>
      </c>
      <c r="L66" s="201">
        <f>K66*B66</f>
        <v>0</v>
      </c>
      <c r="M66" s="248">
        <f>L66/60</f>
        <v>0</v>
      </c>
      <c r="N66" s="220"/>
      <c r="O66" s="780"/>
      <c r="P66" s="220"/>
      <c r="Q66" s="738">
        <v>0</v>
      </c>
      <c r="R66" s="44"/>
    </row>
    <row r="67" spans="1:20" s="139" customFormat="1" ht="15.75" thickBot="1" x14ac:dyDescent="0.25">
      <c r="A67" s="618" t="s">
        <v>380</v>
      </c>
      <c r="B67" s="619">
        <v>0</v>
      </c>
      <c r="C67" s="132"/>
      <c r="D67" s="132"/>
      <c r="E67" s="132"/>
      <c r="G67" s="132"/>
      <c r="H67" s="152"/>
      <c r="K67" s="220"/>
      <c r="M67" s="621"/>
      <c r="N67" s="220"/>
      <c r="O67" s="780"/>
      <c r="P67" s="220"/>
      <c r="R67" s="44"/>
    </row>
    <row r="68" spans="1:20" s="139" customFormat="1" ht="15.75" customHeight="1" thickBot="1" x14ac:dyDescent="0.25">
      <c r="A68" s="545"/>
      <c r="B68" s="546"/>
      <c r="C68" s="132"/>
      <c r="D68" s="132"/>
      <c r="E68" s="132"/>
      <c r="G68" s="132"/>
      <c r="H68" s="152"/>
      <c r="K68" s="220"/>
      <c r="M68" s="621"/>
      <c r="N68" s="220"/>
      <c r="O68" s="758"/>
      <c r="P68" s="736"/>
      <c r="R68" s="44"/>
      <c r="T68" s="733"/>
    </row>
    <row r="69" spans="1:20" s="138" customFormat="1" ht="15" customHeight="1" x14ac:dyDescent="0.2">
      <c r="A69" s="235" t="s">
        <v>470</v>
      </c>
      <c r="B69" s="226" t="s">
        <v>6</v>
      </c>
      <c r="C69" s="226"/>
      <c r="D69" s="227" t="s">
        <v>13</v>
      </c>
      <c r="E69" s="227"/>
      <c r="F69" s="227" t="s">
        <v>14</v>
      </c>
      <c r="G69" s="227" t="s">
        <v>371</v>
      </c>
      <c r="H69" s="227" t="s">
        <v>327</v>
      </c>
      <c r="I69" s="227" t="s">
        <v>372</v>
      </c>
      <c r="J69" s="226" t="s">
        <v>373</v>
      </c>
      <c r="K69" s="180"/>
      <c r="L69" s="180"/>
      <c r="M69" s="622"/>
      <c r="N69" s="882">
        <f>Mengengerüst!B17+Mengengerüst!B18</f>
        <v>0</v>
      </c>
      <c r="O69" s="892">
        <f>O54+O52+O39+O37</f>
        <v>18</v>
      </c>
      <c r="P69" s="895">
        <f>N69+O69</f>
        <v>18</v>
      </c>
      <c r="Q69" s="739"/>
      <c r="R69" s="44"/>
    </row>
    <row r="70" spans="1:20" s="139" customFormat="1" ht="15.75" customHeight="1" thickBot="1" x14ac:dyDescent="0.25">
      <c r="A70" s="481" t="s">
        <v>132</v>
      </c>
      <c r="B70" s="620">
        <f>ROUNDUP(Mengengerüst!B9/12,0)</f>
        <v>0</v>
      </c>
      <c r="C70" s="470" t="s">
        <v>12</v>
      </c>
      <c r="D70" s="547">
        <v>7930</v>
      </c>
      <c r="E70" s="547"/>
      <c r="F70" s="182">
        <f>D70*B70</f>
        <v>0</v>
      </c>
      <c r="G70" s="548">
        <v>790820302</v>
      </c>
      <c r="H70" s="241">
        <v>4800</v>
      </c>
      <c r="I70" s="201">
        <f>H70*B70</f>
        <v>0</v>
      </c>
      <c r="J70" s="241">
        <f>I70/60</f>
        <v>0</v>
      </c>
      <c r="K70" s="241">
        <v>4800</v>
      </c>
      <c r="L70" s="201">
        <f>K70*B70</f>
        <v>0</v>
      </c>
      <c r="M70" s="248">
        <f>L70/60</f>
        <v>0</v>
      </c>
      <c r="N70" s="883"/>
      <c r="O70" s="893"/>
      <c r="P70" s="896"/>
      <c r="Q70" s="738">
        <v>0</v>
      </c>
      <c r="R70" s="44"/>
    </row>
    <row r="71" spans="1:20" s="139" customFormat="1" ht="15.75" thickBot="1" x14ac:dyDescent="0.25">
      <c r="A71" s="618" t="s">
        <v>380</v>
      </c>
      <c r="B71" s="619">
        <v>0</v>
      </c>
      <c r="C71" s="132"/>
      <c r="D71" s="132"/>
      <c r="E71" s="132"/>
      <c r="G71" s="132"/>
      <c r="H71" s="152"/>
      <c r="K71" s="220"/>
      <c r="M71" s="621"/>
      <c r="N71" s="883"/>
      <c r="O71" s="893"/>
      <c r="P71" s="896"/>
      <c r="R71" s="44"/>
    </row>
    <row r="72" spans="1:20" s="139" customFormat="1" ht="15.75" thickBot="1" x14ac:dyDescent="0.25">
      <c r="A72" s="616"/>
      <c r="B72" s="617"/>
      <c r="C72" s="132"/>
      <c r="D72" s="132"/>
      <c r="E72" s="132"/>
      <c r="G72" s="132"/>
      <c r="H72" s="152"/>
      <c r="K72" s="220"/>
      <c r="M72" s="621"/>
      <c r="N72" s="883"/>
      <c r="O72" s="893"/>
      <c r="P72" s="896"/>
      <c r="R72" s="44"/>
    </row>
    <row r="73" spans="1:20" s="138" customFormat="1" ht="15" x14ac:dyDescent="0.2">
      <c r="A73" s="235" t="s">
        <v>396</v>
      </c>
      <c r="B73" s="226" t="s">
        <v>6</v>
      </c>
      <c r="C73" s="226"/>
      <c r="D73" s="227" t="s">
        <v>13</v>
      </c>
      <c r="E73" s="227"/>
      <c r="F73" s="227" t="s">
        <v>14</v>
      </c>
      <c r="G73" s="227" t="s">
        <v>371</v>
      </c>
      <c r="H73" s="227" t="s">
        <v>327</v>
      </c>
      <c r="I73" s="227" t="s">
        <v>372</v>
      </c>
      <c r="J73" s="226" t="s">
        <v>373</v>
      </c>
      <c r="K73" s="180"/>
      <c r="L73" s="180"/>
      <c r="M73" s="622"/>
      <c r="N73" s="883"/>
      <c r="O73" s="893"/>
      <c r="P73" s="896"/>
      <c r="Q73" s="739"/>
      <c r="R73" s="44"/>
    </row>
    <row r="74" spans="1:20" s="139" customFormat="1" ht="15.75" thickBot="1" x14ac:dyDescent="0.25">
      <c r="A74" s="481" t="s">
        <v>132</v>
      </c>
      <c r="B74" s="620">
        <v>0</v>
      </c>
      <c r="C74" s="470" t="s">
        <v>12</v>
      </c>
      <c r="D74" s="547">
        <v>6322</v>
      </c>
      <c r="E74" s="547"/>
      <c r="F74" s="182">
        <f>D74*B74</f>
        <v>0</v>
      </c>
      <c r="G74" s="548">
        <v>790820301</v>
      </c>
      <c r="H74" s="241">
        <v>3900</v>
      </c>
      <c r="I74" s="201">
        <f>H74*B74</f>
        <v>0</v>
      </c>
      <c r="J74" s="241">
        <f>I74/60</f>
        <v>0</v>
      </c>
      <c r="K74" s="241">
        <v>4200</v>
      </c>
      <c r="L74" s="201">
        <f>K74*B74</f>
        <v>0</v>
      </c>
      <c r="M74" s="248">
        <f>L74/60</f>
        <v>0</v>
      </c>
      <c r="N74" s="884"/>
      <c r="O74" s="894"/>
      <c r="P74" s="897"/>
      <c r="Q74" s="738">
        <v>0</v>
      </c>
      <c r="R74" s="44"/>
    </row>
    <row r="75" spans="1:20" s="139" customFormat="1" ht="16.5" thickBot="1" x14ac:dyDescent="0.3">
      <c r="A75" s="618" t="s">
        <v>380</v>
      </c>
      <c r="B75" s="619">
        <v>0</v>
      </c>
      <c r="C75" s="132"/>
      <c r="D75" s="132"/>
      <c r="E75" s="132"/>
      <c r="G75" s="132"/>
      <c r="H75" s="152"/>
      <c r="J75" s="718"/>
      <c r="K75" s="220"/>
      <c r="M75" s="718"/>
      <c r="N75" s="765"/>
      <c r="O75" s="765"/>
      <c r="P75" s="766"/>
      <c r="R75" s="44"/>
    </row>
    <row r="76" spans="1:20" s="139" customFormat="1" ht="16.5" thickBot="1" x14ac:dyDescent="0.25">
      <c r="A76" s="616"/>
      <c r="B76" s="617"/>
      <c r="C76" s="132"/>
      <c r="D76" s="132"/>
      <c r="E76" s="132"/>
      <c r="G76" s="132"/>
      <c r="H76" s="152"/>
      <c r="K76" s="220"/>
      <c r="M76" s="621"/>
      <c r="N76" s="765"/>
      <c r="O76" s="765"/>
      <c r="P76" s="766"/>
      <c r="R76" s="44"/>
    </row>
    <row r="77" spans="1:20" s="138" customFormat="1" ht="15.75" thickBot="1" x14ac:dyDescent="0.25">
      <c r="A77" s="235" t="s">
        <v>468</v>
      </c>
      <c r="B77" s="226" t="s">
        <v>6</v>
      </c>
      <c r="C77" s="226"/>
      <c r="D77" s="227" t="s">
        <v>13</v>
      </c>
      <c r="E77" s="227"/>
      <c r="F77" s="227" t="s">
        <v>14</v>
      </c>
      <c r="G77" s="227" t="s">
        <v>371</v>
      </c>
      <c r="H77" s="227" t="s">
        <v>327</v>
      </c>
      <c r="I77" s="227" t="s">
        <v>372</v>
      </c>
      <c r="J77" s="226" t="s">
        <v>373</v>
      </c>
      <c r="K77" s="180"/>
      <c r="L77" s="180"/>
      <c r="M77" s="213"/>
      <c r="N77" s="759"/>
      <c r="O77" s="759"/>
      <c r="P77" s="760"/>
      <c r="Q77" s="485"/>
      <c r="R77" s="44"/>
    </row>
    <row r="78" spans="1:20" s="139" customFormat="1" ht="15.75" thickBot="1" x14ac:dyDescent="0.25">
      <c r="A78" s="481" t="s">
        <v>132</v>
      </c>
      <c r="B78" s="620">
        <f>ROUNDUP(Mengengerüst!$B$9/6,0)+B79</f>
        <v>0</v>
      </c>
      <c r="C78" s="470" t="s">
        <v>12</v>
      </c>
      <c r="D78" s="547">
        <v>1818</v>
      </c>
      <c r="E78" s="547"/>
      <c r="F78" s="182">
        <f>D78*B78</f>
        <v>0</v>
      </c>
      <c r="G78" s="548">
        <v>790801002</v>
      </c>
      <c r="H78" s="241">
        <v>600</v>
      </c>
      <c r="I78" s="201">
        <f>H78*B78</f>
        <v>0</v>
      </c>
      <c r="J78" s="241">
        <f>I78/60</f>
        <v>0</v>
      </c>
      <c r="K78" s="241">
        <v>480</v>
      </c>
      <c r="L78" s="201">
        <f>K78*B78</f>
        <v>0</v>
      </c>
      <c r="M78" s="203">
        <f>L78/60</f>
        <v>0</v>
      </c>
      <c r="N78" s="767">
        <v>0</v>
      </c>
      <c r="O78" s="767"/>
      <c r="P78" s="768">
        <f>N78*B78+Q78</f>
        <v>0</v>
      </c>
      <c r="Q78" s="495">
        <v>0</v>
      </c>
      <c r="R78" s="44"/>
    </row>
    <row r="79" spans="1:20" s="139" customFormat="1" ht="16.5" thickBot="1" x14ac:dyDescent="0.3">
      <c r="A79" s="618" t="s">
        <v>380</v>
      </c>
      <c r="B79" s="619">
        <v>0</v>
      </c>
      <c r="C79" s="132"/>
      <c r="D79" s="132"/>
      <c r="E79" s="132"/>
      <c r="G79" s="132"/>
      <c r="H79" s="152"/>
      <c r="J79" s="779"/>
      <c r="K79" s="220"/>
      <c r="M79" s="751"/>
      <c r="N79" s="769">
        <f>N35+N48+N50+N62+N78</f>
        <v>0</v>
      </c>
      <c r="O79" s="769">
        <f>O35+O48+O50+O62+O78</f>
        <v>0</v>
      </c>
      <c r="P79" s="769">
        <f>N79+O79</f>
        <v>0</v>
      </c>
      <c r="R79" s="44"/>
    </row>
    <row r="80" spans="1:20" s="139" customFormat="1" ht="16.5" thickBot="1" x14ac:dyDescent="0.25">
      <c r="A80" s="616"/>
      <c r="B80" s="617"/>
      <c r="C80" s="132"/>
      <c r="D80" s="132"/>
      <c r="E80" s="132"/>
      <c r="G80" s="132"/>
      <c r="H80" s="152"/>
      <c r="K80" s="220"/>
      <c r="M80" s="621"/>
      <c r="N80" s="765"/>
      <c r="O80" s="765"/>
      <c r="P80" s="766"/>
      <c r="R80" s="44"/>
    </row>
    <row r="81" spans="1:18" s="138" customFormat="1" ht="15.75" thickBot="1" x14ac:dyDescent="0.25">
      <c r="A81" s="235" t="s">
        <v>449</v>
      </c>
      <c r="B81" s="226" t="s">
        <v>6</v>
      </c>
      <c r="C81" s="226"/>
      <c r="D81" s="227" t="s">
        <v>13</v>
      </c>
      <c r="E81" s="227"/>
      <c r="F81" s="227" t="s">
        <v>14</v>
      </c>
      <c r="G81" s="227" t="s">
        <v>371</v>
      </c>
      <c r="H81" s="227" t="s">
        <v>327</v>
      </c>
      <c r="I81" s="227" t="s">
        <v>372</v>
      </c>
      <c r="J81" s="226" t="s">
        <v>373</v>
      </c>
      <c r="K81" s="180"/>
      <c r="L81" s="180"/>
      <c r="M81" s="213"/>
      <c r="N81" s="759"/>
      <c r="O81" s="759"/>
      <c r="P81" s="760"/>
      <c r="Q81" s="485"/>
      <c r="R81" s="44"/>
    </row>
    <row r="82" spans="1:18" s="139" customFormat="1" ht="15.75" thickBot="1" x14ac:dyDescent="0.25">
      <c r="A82" s="481" t="s">
        <v>132</v>
      </c>
      <c r="B82" s="620">
        <f>ROUNDUP(Mengengerüst!$B$9/8,0)+B83</f>
        <v>0</v>
      </c>
      <c r="C82" s="470" t="s">
        <v>12</v>
      </c>
      <c r="D82" s="547">
        <v>1818</v>
      </c>
      <c r="E82" s="547"/>
      <c r="F82" s="182">
        <f>D82*B82</f>
        <v>0</v>
      </c>
      <c r="G82" s="548">
        <v>790801001</v>
      </c>
      <c r="H82" s="241">
        <v>960</v>
      </c>
      <c r="I82" s="201">
        <f>H82*B82</f>
        <v>0</v>
      </c>
      <c r="J82" s="241">
        <f>I82/60</f>
        <v>0</v>
      </c>
      <c r="K82" s="241">
        <v>480</v>
      </c>
      <c r="L82" s="201">
        <f>K82*B82</f>
        <v>0</v>
      </c>
      <c r="M82" s="203">
        <f>L82/60</f>
        <v>0</v>
      </c>
      <c r="N82" s="767">
        <v>0</v>
      </c>
      <c r="O82" s="767"/>
      <c r="P82" s="768">
        <f>N82*B82+Q82</f>
        <v>0</v>
      </c>
      <c r="Q82" s="495">
        <v>0</v>
      </c>
      <c r="R82" s="44"/>
    </row>
    <row r="83" spans="1:18" s="139" customFormat="1" ht="16.5" thickBot="1" x14ac:dyDescent="0.3">
      <c r="A83" s="618" t="s">
        <v>380</v>
      </c>
      <c r="B83" s="619">
        <v>0</v>
      </c>
      <c r="C83" s="132"/>
      <c r="D83" s="132"/>
      <c r="E83" s="132"/>
      <c r="G83" s="132"/>
      <c r="H83" s="152"/>
      <c r="J83" s="623">
        <f>J34+J37+J40+J43+J46+J49+J52+J55+J59+J63+J66+J70+J74+J78+J82+J86+J87+J101</f>
        <v>124</v>
      </c>
      <c r="K83" s="220"/>
      <c r="M83" s="751">
        <f>M37+M40+M43+M46+M49+M52+M55+M59+M63+M66+M70+M74+M78+M82+M87</f>
        <v>111.75</v>
      </c>
      <c r="N83" s="769">
        <f>N37+N39+N52+N54+N82</f>
        <v>1</v>
      </c>
      <c r="O83" s="791">
        <f>O39+O52+O54+O82</f>
        <v>18</v>
      </c>
      <c r="P83" s="769">
        <f>N83+O83</f>
        <v>19</v>
      </c>
      <c r="R83" s="44"/>
    </row>
    <row r="84" spans="1:18" s="139" customFormat="1" ht="15" x14ac:dyDescent="0.2">
      <c r="A84" s="156"/>
      <c r="B84" s="136"/>
      <c r="C84" s="132"/>
      <c r="D84" s="132"/>
      <c r="E84" s="132"/>
      <c r="F84" s="221"/>
      <c r="G84" s="153"/>
      <c r="H84" s="152"/>
      <c r="I84" s="152"/>
      <c r="J84" s="152"/>
      <c r="K84" s="222"/>
      <c r="L84" s="152"/>
      <c r="R84" s="44"/>
    </row>
    <row r="85" spans="1:18" s="139" customFormat="1" ht="16.5" thickBot="1" x14ac:dyDescent="0.3">
      <c r="A85" s="140"/>
      <c r="B85" s="141"/>
      <c r="F85" s="142"/>
      <c r="G85" s="163"/>
      <c r="H85" s="151"/>
      <c r="I85" s="151"/>
      <c r="J85" s="151"/>
      <c r="K85" s="151"/>
      <c r="L85" s="151"/>
      <c r="M85" s="155"/>
    </row>
    <row r="86" spans="1:18" ht="13.5" thickBot="1" x14ac:dyDescent="0.25">
      <c r="A86" s="183" t="s">
        <v>120</v>
      </c>
      <c r="B86" s="770">
        <f>N83</f>
        <v>1</v>
      </c>
      <c r="C86" s="170" t="s">
        <v>12</v>
      </c>
      <c r="D86" s="184">
        <v>75</v>
      </c>
      <c r="E86" s="184"/>
      <c r="F86" s="185">
        <f t="shared" ref="F86:F92" si="14">B86*D86</f>
        <v>75</v>
      </c>
      <c r="G86" s="191"/>
      <c r="H86" s="238">
        <v>15</v>
      </c>
      <c r="I86" s="201">
        <f>H86*B86</f>
        <v>15</v>
      </c>
      <c r="J86" s="201">
        <f>I86/60</f>
        <v>0.25</v>
      </c>
      <c r="K86" s="238"/>
      <c r="L86" s="179"/>
      <c r="M86" s="242"/>
    </row>
    <row r="87" spans="1:18" ht="15.75" thickBot="1" x14ac:dyDescent="0.25">
      <c r="A87" s="186" t="s">
        <v>121</v>
      </c>
      <c r="B87" s="805">
        <f>P83</f>
        <v>19</v>
      </c>
      <c r="C87" s="3" t="s">
        <v>12</v>
      </c>
      <c r="D87" s="143">
        <v>90</v>
      </c>
      <c r="E87" s="143"/>
      <c r="F87" s="65">
        <f t="shared" si="14"/>
        <v>1710</v>
      </c>
      <c r="G87" s="51"/>
      <c r="H87" s="241">
        <v>15</v>
      </c>
      <c r="I87" s="201">
        <f>H87*B87</f>
        <v>285</v>
      </c>
      <c r="J87" s="201">
        <f>I87/60</f>
        <v>4.75</v>
      </c>
      <c r="K87" s="243">
        <v>15</v>
      </c>
      <c r="L87" s="201">
        <f>K87*B87</f>
        <v>285</v>
      </c>
      <c r="M87" s="203">
        <f>L87/60</f>
        <v>4.75</v>
      </c>
    </row>
    <row r="88" spans="1:18" ht="15" x14ac:dyDescent="0.2">
      <c r="A88" s="186" t="s">
        <v>118</v>
      </c>
      <c r="B88" s="624">
        <v>0</v>
      </c>
      <c r="C88" s="3" t="s">
        <v>12</v>
      </c>
      <c r="D88" s="4">
        <v>0</v>
      </c>
      <c r="E88" s="4"/>
      <c r="F88" s="65">
        <f t="shared" si="14"/>
        <v>0</v>
      </c>
      <c r="G88" s="51"/>
      <c r="H88" s="239"/>
      <c r="I88" s="237"/>
      <c r="J88" s="240"/>
      <c r="K88" s="239"/>
      <c r="L88" s="237"/>
      <c r="M88" s="206"/>
    </row>
    <row r="89" spans="1:18" x14ac:dyDescent="0.2">
      <c r="A89" s="186" t="s">
        <v>119</v>
      </c>
      <c r="B89" s="624">
        <v>0</v>
      </c>
      <c r="C89" s="3" t="s">
        <v>12</v>
      </c>
      <c r="D89" s="4">
        <v>0</v>
      </c>
      <c r="E89" s="4"/>
      <c r="F89" s="65">
        <f t="shared" si="14"/>
        <v>0</v>
      </c>
      <c r="G89" s="51"/>
      <c r="H89" s="193"/>
      <c r="I89" s="233"/>
      <c r="J89" s="234"/>
      <c r="K89" s="193"/>
      <c r="L89" s="233"/>
      <c r="M89" s="206"/>
    </row>
    <row r="90" spans="1:18" x14ac:dyDescent="0.2">
      <c r="A90" s="186" t="s">
        <v>205</v>
      </c>
      <c r="B90" s="624">
        <v>0</v>
      </c>
      <c r="C90" s="53" t="s">
        <v>12</v>
      </c>
      <c r="D90" s="4">
        <v>0</v>
      </c>
      <c r="E90" s="4"/>
      <c r="F90" s="65">
        <f t="shared" si="14"/>
        <v>0</v>
      </c>
      <c r="G90" s="51"/>
      <c r="H90" s="193"/>
      <c r="I90" s="233"/>
      <c r="J90" s="234"/>
      <c r="K90" s="193"/>
      <c r="L90" s="233"/>
      <c r="M90" s="206"/>
    </row>
    <row r="91" spans="1:18" x14ac:dyDescent="0.2">
      <c r="A91" s="186" t="s">
        <v>254</v>
      </c>
      <c r="B91" s="722">
        <v>0</v>
      </c>
      <c r="C91" s="3" t="s">
        <v>12</v>
      </c>
      <c r="D91" s="4">
        <v>75</v>
      </c>
      <c r="E91" s="4"/>
      <c r="F91" s="65">
        <f t="shared" si="14"/>
        <v>0</v>
      </c>
      <c r="G91" s="51"/>
      <c r="H91" s="193"/>
      <c r="I91" s="233"/>
      <c r="J91" s="234"/>
      <c r="K91" s="193"/>
      <c r="L91" s="233"/>
      <c r="M91" s="206"/>
    </row>
    <row r="92" spans="1:18" x14ac:dyDescent="0.2">
      <c r="A92" s="186" t="s">
        <v>235</v>
      </c>
      <c r="B92" s="2">
        <f>EAs!B71</f>
        <v>0</v>
      </c>
      <c r="C92" s="3" t="s">
        <v>12</v>
      </c>
      <c r="D92" s="4">
        <v>250</v>
      </c>
      <c r="E92" s="4"/>
      <c r="F92" s="65">
        <f t="shared" si="14"/>
        <v>0</v>
      </c>
      <c r="G92" s="51"/>
      <c r="H92" s="193"/>
      <c r="I92" s="233"/>
      <c r="J92" s="234"/>
      <c r="K92" s="195"/>
      <c r="L92" s="3"/>
      <c r="M92" s="206"/>
    </row>
    <row r="93" spans="1:18" ht="13.5" thickBot="1" x14ac:dyDescent="0.25">
      <c r="A93" s="174" t="s">
        <v>136</v>
      </c>
      <c r="B93" s="187"/>
      <c r="C93" s="175"/>
      <c r="D93" s="188"/>
      <c r="E93" s="188"/>
      <c r="F93" s="177">
        <f>SUM(F86:F92)</f>
        <v>1785</v>
      </c>
      <c r="G93" s="192"/>
      <c r="H93" s="210"/>
      <c r="I93" s="241"/>
      <c r="J93" s="203"/>
      <c r="K93" s="244"/>
      <c r="L93" s="175"/>
      <c r="M93" s="245"/>
    </row>
    <row r="94" spans="1:18" ht="13.5" thickBot="1" x14ac:dyDescent="0.25">
      <c r="A94" s="164"/>
      <c r="B94" s="160"/>
      <c r="C94" s="150"/>
      <c r="D94" s="150"/>
      <c r="E94" s="150"/>
      <c r="F94" s="165"/>
      <c r="G94" s="150"/>
      <c r="H94" s="133"/>
      <c r="I94" s="133"/>
      <c r="J94" s="133"/>
      <c r="K94" s="150"/>
      <c r="L94" s="150"/>
    </row>
    <row r="95" spans="1:18" x14ac:dyDescent="0.2">
      <c r="A95" s="183" t="s">
        <v>72</v>
      </c>
      <c r="B95" s="189">
        <f>EAs!B25+EAs!B26</f>
        <v>11</v>
      </c>
      <c r="C95" s="170" t="s">
        <v>12</v>
      </c>
      <c r="D95" s="641">
        <v>51</v>
      </c>
      <c r="E95" s="641"/>
      <c r="F95" s="185">
        <f t="shared" ref="F95:F102" si="15">B95*D95</f>
        <v>561</v>
      </c>
      <c r="G95" s="191"/>
      <c r="H95" s="238"/>
      <c r="I95" s="179"/>
      <c r="J95" s="246"/>
      <c r="K95" s="625">
        <v>25</v>
      </c>
      <c r="L95" s="626">
        <f t="shared" ref="L95:L101" si="16">$K95*$B95</f>
        <v>275</v>
      </c>
      <c r="M95" s="648">
        <f>L95/60</f>
        <v>4.583333333333333</v>
      </c>
    </row>
    <row r="96" spans="1:18" ht="25.5" x14ac:dyDescent="0.2">
      <c r="A96" s="186" t="str">
        <f>EAs!A28</f>
        <v>Bedienst. 2-fach ("Wechs." + BCD 10f.) (DIR.)</v>
      </c>
      <c r="B96" s="59">
        <f>EAs!B28</f>
        <v>0</v>
      </c>
      <c r="C96" s="53" t="s">
        <v>12</v>
      </c>
      <c r="D96" s="4">
        <v>90</v>
      </c>
      <c r="E96" s="4"/>
      <c r="F96" s="65">
        <f t="shared" si="15"/>
        <v>0</v>
      </c>
      <c r="G96" s="51"/>
      <c r="H96" s="193"/>
      <c r="I96" s="233"/>
      <c r="J96" s="247"/>
      <c r="K96" s="627">
        <v>120</v>
      </c>
      <c r="L96" s="628">
        <f t="shared" si="16"/>
        <v>0</v>
      </c>
      <c r="M96" s="629">
        <f t="shared" ref="M96:M101" si="17">L96/60</f>
        <v>0</v>
      </c>
    </row>
    <row r="97" spans="1:13" x14ac:dyDescent="0.2">
      <c r="A97" s="186" t="s">
        <v>84</v>
      </c>
      <c r="B97" s="59">
        <f>EAs!B29</f>
        <v>3</v>
      </c>
      <c r="C97" s="3" t="s">
        <v>12</v>
      </c>
      <c r="D97" s="536">
        <v>92</v>
      </c>
      <c r="E97" s="536"/>
      <c r="F97" s="65">
        <f t="shared" si="15"/>
        <v>276</v>
      </c>
      <c r="G97" s="51" t="s">
        <v>436</v>
      </c>
      <c r="H97" s="193"/>
      <c r="I97" s="233"/>
      <c r="J97" s="247"/>
      <c r="K97" s="627">
        <v>30</v>
      </c>
      <c r="L97" s="628">
        <f t="shared" si="16"/>
        <v>90</v>
      </c>
      <c r="M97" s="630">
        <f t="shared" si="17"/>
        <v>1.5</v>
      </c>
    </row>
    <row r="98" spans="1:13" x14ac:dyDescent="0.2">
      <c r="A98" s="186" t="s">
        <v>71</v>
      </c>
      <c r="B98" s="59">
        <f>EAs!B30</f>
        <v>0</v>
      </c>
      <c r="C98" s="3" t="s">
        <v>12</v>
      </c>
      <c r="D98" s="4">
        <v>104</v>
      </c>
      <c r="E98" s="4"/>
      <c r="F98" s="65">
        <f t="shared" si="15"/>
        <v>0</v>
      </c>
      <c r="G98" s="51"/>
      <c r="H98" s="193"/>
      <c r="I98" s="233"/>
      <c r="J98" s="247"/>
      <c r="K98" s="627">
        <v>25</v>
      </c>
      <c r="L98" s="628">
        <f t="shared" si="16"/>
        <v>0</v>
      </c>
      <c r="M98" s="629">
        <f t="shared" si="17"/>
        <v>0</v>
      </c>
    </row>
    <row r="99" spans="1:13" x14ac:dyDescent="0.2">
      <c r="A99" s="186" t="s">
        <v>70</v>
      </c>
      <c r="B99" s="59">
        <f>EAs!B31</f>
        <v>0</v>
      </c>
      <c r="C99" s="3" t="s">
        <v>12</v>
      </c>
      <c r="D99" s="4">
        <v>116</v>
      </c>
      <c r="E99" s="4"/>
      <c r="F99" s="65">
        <f t="shared" si="15"/>
        <v>0</v>
      </c>
      <c r="G99" s="51"/>
      <c r="H99" s="193"/>
      <c r="I99" s="233"/>
      <c r="J99" s="247"/>
      <c r="K99" s="627">
        <v>30</v>
      </c>
      <c r="L99" s="628">
        <f t="shared" si="16"/>
        <v>0</v>
      </c>
      <c r="M99" s="629">
        <f t="shared" si="17"/>
        <v>0</v>
      </c>
    </row>
    <row r="100" spans="1:13" ht="13.5" thickBot="1" x14ac:dyDescent="0.25">
      <c r="A100" s="186" t="s">
        <v>484</v>
      </c>
      <c r="B100" s="59">
        <f>EAs!B32</f>
        <v>1</v>
      </c>
      <c r="C100" s="3" t="s">
        <v>12</v>
      </c>
      <c r="D100" s="4">
        <v>380</v>
      </c>
      <c r="E100" s="4"/>
      <c r="F100" s="65">
        <f t="shared" si="15"/>
        <v>380</v>
      </c>
      <c r="G100" s="51"/>
      <c r="H100" s="210"/>
      <c r="I100" s="241"/>
      <c r="J100" s="248"/>
      <c r="K100" s="631">
        <v>45</v>
      </c>
      <c r="L100" s="632">
        <f t="shared" si="16"/>
        <v>45</v>
      </c>
      <c r="M100" s="633">
        <f t="shared" si="17"/>
        <v>0.75</v>
      </c>
    </row>
    <row r="101" spans="1:13" ht="13.5" thickBot="1" x14ac:dyDescent="0.25">
      <c r="A101" s="691" t="str">
        <f>Mengengerüst!A157</f>
        <v>Drucktaster automatische Umfahrung</v>
      </c>
      <c r="B101" s="692">
        <f>Mengengerüst!B157</f>
        <v>0</v>
      </c>
      <c r="C101" s="3" t="s">
        <v>12</v>
      </c>
      <c r="D101" s="4">
        <v>28</v>
      </c>
      <c r="E101" s="694"/>
      <c r="F101" s="65">
        <f t="shared" si="15"/>
        <v>0</v>
      </c>
      <c r="G101" s="696"/>
      <c r="H101" s="241">
        <v>10</v>
      </c>
      <c r="I101" s="201">
        <f>H101*B101</f>
        <v>0</v>
      </c>
      <c r="J101" s="241">
        <f>I101/60</f>
        <v>0</v>
      </c>
      <c r="K101" s="697">
        <v>15</v>
      </c>
      <c r="L101" s="698">
        <f t="shared" si="16"/>
        <v>0</v>
      </c>
      <c r="M101" s="699">
        <f t="shared" si="17"/>
        <v>0</v>
      </c>
    </row>
    <row r="102" spans="1:13" x14ac:dyDescent="0.2">
      <c r="A102" s="691" t="s">
        <v>421</v>
      </c>
      <c r="B102" s="692">
        <f>B101</f>
        <v>0</v>
      </c>
      <c r="C102" s="693"/>
      <c r="D102" s="694">
        <v>33</v>
      </c>
      <c r="E102" s="694"/>
      <c r="F102" s="695">
        <f t="shared" si="15"/>
        <v>0</v>
      </c>
      <c r="G102" s="696"/>
      <c r="H102" s="382"/>
      <c r="I102" s="385"/>
      <c r="J102" s="379"/>
      <c r="K102" s="697"/>
      <c r="L102" s="698"/>
      <c r="M102" s="699"/>
    </row>
    <row r="103" spans="1:13" ht="12.75" customHeight="1" thickBot="1" x14ac:dyDescent="0.25">
      <c r="A103" s="190" t="s">
        <v>69</v>
      </c>
      <c r="B103" s="175"/>
      <c r="C103" s="175"/>
      <c r="D103" s="175"/>
      <c r="E103" s="175"/>
      <c r="F103" s="177">
        <f>SUM(F95:F102)</f>
        <v>1217</v>
      </c>
      <c r="G103" s="192"/>
      <c r="H103" s="873" t="s">
        <v>328</v>
      </c>
      <c r="I103" s="873"/>
      <c r="J103" s="873"/>
      <c r="K103" s="873"/>
      <c r="L103" s="249">
        <f>SUM(L95:L101)</f>
        <v>410</v>
      </c>
      <c r="M103" s="634">
        <f>SUM(M95:M102)</f>
        <v>6.833333333333333</v>
      </c>
    </row>
    <row r="104" spans="1:13" x14ac:dyDescent="0.2">
      <c r="A104" s="166"/>
      <c r="B104" s="150"/>
      <c r="C104" s="150"/>
      <c r="D104" s="150"/>
      <c r="E104" s="150"/>
      <c r="F104" s="167"/>
      <c r="G104" s="150"/>
      <c r="H104" s="133"/>
      <c r="I104" s="133"/>
      <c r="J104" s="133"/>
      <c r="K104" s="133"/>
      <c r="L104" s="133"/>
    </row>
    <row r="105" spans="1:13" x14ac:dyDescent="0.2">
      <c r="A105" s="61"/>
      <c r="F105" s="62"/>
      <c r="H105" s="135"/>
      <c r="I105" s="135"/>
      <c r="J105" s="135"/>
      <c r="K105" s="135"/>
      <c r="L105" s="144"/>
    </row>
    <row r="106" spans="1:13" ht="15.75" x14ac:dyDescent="0.2">
      <c r="A106" s="63" t="s">
        <v>66</v>
      </c>
      <c r="B106" s="44"/>
      <c r="D106" s="68"/>
      <c r="E106" s="68"/>
      <c r="F106" s="64"/>
      <c r="G106" s="45"/>
      <c r="H106" s="135"/>
      <c r="I106" s="135"/>
      <c r="J106" s="135"/>
      <c r="K106" s="135"/>
      <c r="L106" s="144"/>
    </row>
    <row r="107" spans="1:13" x14ac:dyDescent="0.2">
      <c r="A107" s="57" t="s">
        <v>303</v>
      </c>
      <c r="B107" s="869" t="s">
        <v>6</v>
      </c>
      <c r="C107" s="870"/>
      <c r="D107" s="3" t="s">
        <v>13</v>
      </c>
      <c r="E107" s="3"/>
      <c r="F107" s="3" t="s">
        <v>14</v>
      </c>
      <c r="G107" s="6" t="s">
        <v>20</v>
      </c>
      <c r="H107" s="135"/>
      <c r="I107" s="135"/>
      <c r="J107" s="135"/>
      <c r="K107" s="135"/>
      <c r="L107" s="144"/>
    </row>
    <row r="108" spans="1:13" ht="25.5" x14ac:dyDescent="0.2">
      <c r="A108" s="57" t="s">
        <v>304</v>
      </c>
      <c r="B108" s="53">
        <v>0</v>
      </c>
      <c r="C108" s="3" t="s">
        <v>12</v>
      </c>
      <c r="D108" s="4">
        <v>1607.25</v>
      </c>
      <c r="E108" s="4"/>
      <c r="F108" s="65">
        <f t="shared" ref="F108" si="18">B108*D108</f>
        <v>0</v>
      </c>
      <c r="G108" s="6"/>
      <c r="H108" s="135"/>
      <c r="I108" s="135"/>
      <c r="J108" s="135"/>
      <c r="K108" s="135"/>
      <c r="L108" s="144"/>
    </row>
    <row r="109" spans="1:13" ht="25.5" x14ac:dyDescent="0.2">
      <c r="A109" s="57" t="s">
        <v>302</v>
      </c>
      <c r="B109" s="53">
        <v>0</v>
      </c>
      <c r="C109" s="3" t="s">
        <v>12</v>
      </c>
      <c r="D109" s="4">
        <v>3366</v>
      </c>
      <c r="E109" s="4"/>
      <c r="F109" s="65">
        <f t="shared" ref="F109" si="19">B109*D109</f>
        <v>0</v>
      </c>
      <c r="G109" s="6"/>
      <c r="H109" s="135"/>
      <c r="I109" s="135"/>
      <c r="J109" s="135"/>
      <c r="K109" s="135"/>
      <c r="L109" s="144"/>
    </row>
    <row r="110" spans="1:13" x14ac:dyDescent="0.2">
      <c r="A110" s="57" t="s">
        <v>293</v>
      </c>
      <c r="B110" s="70">
        <f>B109</f>
        <v>0</v>
      </c>
      <c r="C110" s="3" t="s">
        <v>12</v>
      </c>
      <c r="D110" s="4">
        <v>205</v>
      </c>
      <c r="E110" s="4"/>
      <c r="F110" s="65">
        <f t="shared" ref="F110:F119" si="20">B110*D110</f>
        <v>0</v>
      </c>
      <c r="G110" s="6"/>
      <c r="H110" s="135"/>
      <c r="I110" s="135"/>
      <c r="J110" s="135"/>
      <c r="K110" s="135"/>
      <c r="L110" s="144"/>
    </row>
    <row r="111" spans="1:13" ht="38.25" x14ac:dyDescent="0.2">
      <c r="A111" s="71" t="s">
        <v>294</v>
      </c>
      <c r="B111" s="3">
        <v>0</v>
      </c>
      <c r="C111" s="3" t="s">
        <v>12</v>
      </c>
      <c r="D111" s="4">
        <v>354.04</v>
      </c>
      <c r="E111" s="4"/>
      <c r="F111" s="65">
        <f t="shared" si="20"/>
        <v>0</v>
      </c>
      <c r="G111" s="6"/>
      <c r="H111" s="135"/>
      <c r="I111" s="135"/>
      <c r="J111" s="135"/>
      <c r="K111" s="135"/>
      <c r="L111" s="144"/>
    </row>
    <row r="112" spans="1:13" x14ac:dyDescent="0.2">
      <c r="A112" s="57"/>
      <c r="B112" s="3"/>
      <c r="C112" s="3"/>
      <c r="D112" s="4"/>
      <c r="E112" s="4"/>
      <c r="F112" s="65"/>
      <c r="G112" s="6"/>
      <c r="H112" s="135"/>
      <c r="I112" s="135"/>
      <c r="J112" s="135"/>
      <c r="K112" s="135"/>
      <c r="L112" s="144"/>
    </row>
    <row r="113" spans="1:12" x14ac:dyDescent="0.2">
      <c r="A113" s="57" t="s">
        <v>300</v>
      </c>
      <c r="B113" s="95">
        <v>0</v>
      </c>
      <c r="C113" s="3" t="s">
        <v>12</v>
      </c>
      <c r="D113" s="4">
        <v>169</v>
      </c>
      <c r="E113" s="4"/>
      <c r="F113" s="65">
        <f t="shared" si="20"/>
        <v>0</v>
      </c>
      <c r="G113" s="6"/>
      <c r="H113" s="145"/>
      <c r="I113" s="145"/>
      <c r="J113" s="145"/>
      <c r="K113" s="135"/>
      <c r="L113" s="144"/>
    </row>
    <row r="114" spans="1:12" ht="25.5" x14ac:dyDescent="0.2">
      <c r="A114" s="57" t="s">
        <v>301</v>
      </c>
      <c r="B114" s="95">
        <v>0</v>
      </c>
      <c r="C114" s="3" t="s">
        <v>12</v>
      </c>
      <c r="D114" s="4">
        <v>175.5</v>
      </c>
      <c r="E114" s="4"/>
      <c r="F114" s="65">
        <f t="shared" ref="F114" si="21">B114*D114</f>
        <v>0</v>
      </c>
      <c r="G114" s="6"/>
      <c r="H114" s="146"/>
      <c r="I114" s="146"/>
      <c r="J114" s="146"/>
      <c r="K114" s="135"/>
      <c r="L114" s="144"/>
    </row>
    <row r="115" spans="1:12" ht="25.5" x14ac:dyDescent="0.2">
      <c r="A115" s="57" t="s">
        <v>298</v>
      </c>
      <c r="B115" s="70">
        <v>0</v>
      </c>
      <c r="C115" s="3" t="s">
        <v>12</v>
      </c>
      <c r="D115" s="4">
        <v>11.92</v>
      </c>
      <c r="E115" s="4"/>
      <c r="F115" s="65">
        <f t="shared" si="20"/>
        <v>0</v>
      </c>
      <c r="G115" s="6"/>
      <c r="H115" s="135"/>
      <c r="I115" s="135"/>
      <c r="J115" s="135"/>
      <c r="K115" s="135"/>
      <c r="L115" s="144"/>
    </row>
    <row r="116" spans="1:12" x14ac:dyDescent="0.2">
      <c r="A116" s="57" t="s">
        <v>296</v>
      </c>
      <c r="B116" s="53">
        <v>0</v>
      </c>
      <c r="C116" s="3" t="s">
        <v>12</v>
      </c>
      <c r="D116" s="4">
        <v>145.5</v>
      </c>
      <c r="E116" s="4"/>
      <c r="F116" s="65">
        <f t="shared" si="20"/>
        <v>0</v>
      </c>
      <c r="G116" s="59">
        <f>B116*16</f>
        <v>0</v>
      </c>
      <c r="H116" s="135"/>
      <c r="I116" s="135"/>
      <c r="J116" s="135"/>
      <c r="K116" s="135"/>
      <c r="L116" s="144"/>
    </row>
    <row r="117" spans="1:12" x14ac:dyDescent="0.2">
      <c r="A117" s="57" t="s">
        <v>297</v>
      </c>
      <c r="B117" s="3">
        <v>0</v>
      </c>
      <c r="C117" s="3" t="s">
        <v>12</v>
      </c>
      <c r="D117" s="4">
        <v>134.62</v>
      </c>
      <c r="E117" s="4"/>
      <c r="F117" s="65">
        <f t="shared" si="20"/>
        <v>0</v>
      </c>
      <c r="G117" s="6"/>
      <c r="H117" s="135"/>
      <c r="I117" s="135"/>
      <c r="J117" s="135"/>
      <c r="K117" s="135"/>
      <c r="L117" s="144"/>
    </row>
    <row r="118" spans="1:12" x14ac:dyDescent="0.2">
      <c r="A118" s="57" t="s">
        <v>295</v>
      </c>
      <c r="B118" s="3">
        <v>0</v>
      </c>
      <c r="C118" s="3" t="s">
        <v>12</v>
      </c>
      <c r="D118" s="4">
        <v>221.25</v>
      </c>
      <c r="E118" s="4"/>
      <c r="F118" s="65">
        <f t="shared" si="20"/>
        <v>0</v>
      </c>
      <c r="G118" s="59">
        <f>B118*32</f>
        <v>0</v>
      </c>
      <c r="H118" s="135"/>
      <c r="I118" s="135"/>
      <c r="J118" s="135"/>
      <c r="K118" s="135"/>
      <c r="L118" s="144"/>
    </row>
    <row r="119" spans="1:12" x14ac:dyDescent="0.2">
      <c r="A119" s="57" t="s">
        <v>299</v>
      </c>
      <c r="B119" s="3">
        <v>0</v>
      </c>
      <c r="C119" s="3" t="s">
        <v>12</v>
      </c>
      <c r="D119" s="4">
        <v>269.25</v>
      </c>
      <c r="E119" s="4"/>
      <c r="F119" s="65">
        <f t="shared" si="20"/>
        <v>0</v>
      </c>
      <c r="H119" s="135"/>
      <c r="I119" s="135"/>
      <c r="J119" s="135"/>
      <c r="K119" s="135"/>
      <c r="L119" s="144"/>
    </row>
    <row r="120" spans="1:12" x14ac:dyDescent="0.2">
      <c r="A120" s="66"/>
      <c r="B120" s="56"/>
      <c r="C120" s="56"/>
      <c r="D120" s="58" t="s">
        <v>15</v>
      </c>
      <c r="E120" s="58"/>
      <c r="F120" s="60">
        <v>0</v>
      </c>
      <c r="G120" s="3"/>
      <c r="H120" s="135"/>
      <c r="I120" s="135"/>
      <c r="J120" s="135"/>
      <c r="K120" s="135"/>
      <c r="L120" s="144"/>
    </row>
    <row r="121" spans="1:12" x14ac:dyDescent="0.2">
      <c r="B121" s="44"/>
      <c r="D121" s="68"/>
      <c r="E121" s="68"/>
      <c r="F121" s="69" t="s">
        <v>26</v>
      </c>
      <c r="G121" s="59">
        <f>G118+G116</f>
        <v>0</v>
      </c>
      <c r="H121" s="135"/>
      <c r="I121" s="135"/>
      <c r="J121" s="135"/>
      <c r="K121" s="135"/>
      <c r="L121" s="144"/>
    </row>
    <row r="122" spans="1:12" x14ac:dyDescent="0.2">
      <c r="B122" s="44"/>
      <c r="D122" s="68"/>
      <c r="E122" s="68"/>
      <c r="F122" s="64"/>
      <c r="G122" s="45"/>
      <c r="H122" s="135"/>
      <c r="I122" s="135"/>
      <c r="J122" s="135"/>
      <c r="K122" s="135"/>
      <c r="L122" s="144"/>
    </row>
    <row r="123" spans="1:12" ht="15.75" x14ac:dyDescent="0.2">
      <c r="A123" s="63" t="s">
        <v>441</v>
      </c>
      <c r="B123" s="3"/>
      <c r="C123" s="3"/>
      <c r="D123" s="4"/>
      <c r="E123" s="4"/>
      <c r="F123" s="65"/>
      <c r="H123" s="135"/>
      <c r="I123" s="135"/>
      <c r="J123" s="135"/>
      <c r="K123" s="135"/>
      <c r="L123" s="144"/>
    </row>
    <row r="124" spans="1:12" ht="25.5" x14ac:dyDescent="0.2">
      <c r="A124" s="57" t="s">
        <v>301</v>
      </c>
      <c r="B124" s="712">
        <f>$B$27*$B$34+$B$37+$B$40+$B$43+$B$46+$B$49+$B$52+$B$55+$B$59+$B$63+H124</f>
        <v>5</v>
      </c>
      <c r="C124" s="3" t="s">
        <v>12</v>
      </c>
      <c r="D124" s="4">
        <v>185</v>
      </c>
      <c r="E124" s="4"/>
      <c r="F124" s="65">
        <f t="shared" ref="F124:F132" si="22">B124*D124</f>
        <v>925</v>
      </c>
      <c r="G124" s="6">
        <v>709000006</v>
      </c>
      <c r="H124" s="792">
        <v>-2</v>
      </c>
      <c r="J124" s="146"/>
      <c r="K124" s="135"/>
      <c r="L124" s="144"/>
    </row>
    <row r="125" spans="1:12" x14ac:dyDescent="0.2">
      <c r="A125" s="57" t="s">
        <v>442</v>
      </c>
      <c r="B125" s="712">
        <f>$B$27*$B$34*3+$B$37*4+$B$40*3+$B$43*7+$B$46*4+$B$49*9+$B$52*5+$B$55*4+$B$59*8+$B$63*8+H125</f>
        <v>28</v>
      </c>
      <c r="C125" s="3" t="s">
        <v>12</v>
      </c>
      <c r="D125" s="4">
        <v>30</v>
      </c>
      <c r="E125" s="4"/>
      <c r="F125" s="65">
        <f t="shared" si="22"/>
        <v>840</v>
      </c>
      <c r="G125" s="6">
        <v>709000021</v>
      </c>
      <c r="H125" s="793">
        <v>-10</v>
      </c>
      <c r="J125" s="135"/>
      <c r="K125" s="135"/>
      <c r="L125" s="144"/>
    </row>
    <row r="126" spans="1:12" x14ac:dyDescent="0.2">
      <c r="A126" s="57" t="s">
        <v>443</v>
      </c>
      <c r="B126" s="713">
        <v>0</v>
      </c>
      <c r="C126" s="3" t="s">
        <v>12</v>
      </c>
      <c r="D126" s="4">
        <v>54</v>
      </c>
      <c r="E126" s="4"/>
      <c r="F126" s="65">
        <f t="shared" si="22"/>
        <v>0</v>
      </c>
      <c r="G126" s="6">
        <v>709000022</v>
      </c>
      <c r="H126" s="793">
        <v>0</v>
      </c>
      <c r="J126" s="135"/>
      <c r="K126" s="135"/>
      <c r="L126" s="144"/>
    </row>
    <row r="127" spans="1:12" x14ac:dyDescent="0.2">
      <c r="A127" s="57" t="s">
        <v>444</v>
      </c>
      <c r="B127" s="712">
        <f>ROUNDUP($B$27*$B$34*4+$B$37*12+$B$40*7+$B$43*14+$B$46*9+$B$49*20+$B$52*22+$B$55*16+$B$59*22+$B$63*16/1.5,0)+H127</f>
        <v>92</v>
      </c>
      <c r="C127" s="3" t="s">
        <v>12</v>
      </c>
      <c r="D127" s="4">
        <v>45</v>
      </c>
      <c r="E127" s="4"/>
      <c r="F127" s="65">
        <f t="shared" si="22"/>
        <v>4140</v>
      </c>
      <c r="G127" s="6" t="s">
        <v>467</v>
      </c>
      <c r="H127" s="793">
        <v>-18</v>
      </c>
      <c r="J127" s="135"/>
      <c r="K127" s="135"/>
      <c r="L127" s="144"/>
    </row>
    <row r="128" spans="1:12" x14ac:dyDescent="0.2">
      <c r="A128" s="57" t="s">
        <v>445</v>
      </c>
      <c r="B128" s="712">
        <v>0</v>
      </c>
      <c r="C128" s="3" t="s">
        <v>12</v>
      </c>
      <c r="D128" s="4">
        <v>62</v>
      </c>
      <c r="E128" s="4"/>
      <c r="F128" s="65">
        <f t="shared" si="22"/>
        <v>0</v>
      </c>
      <c r="G128" s="6">
        <v>709000032</v>
      </c>
      <c r="H128" s="793">
        <v>0</v>
      </c>
      <c r="J128" s="135"/>
      <c r="K128" s="135"/>
      <c r="L128" s="144"/>
    </row>
    <row r="129" spans="1:12" x14ac:dyDescent="0.2">
      <c r="A129" s="57" t="s">
        <v>446</v>
      </c>
      <c r="B129" s="70">
        <f>B124*2+H129</f>
        <v>10</v>
      </c>
      <c r="C129" s="3" t="s">
        <v>12</v>
      </c>
      <c r="D129" s="4">
        <v>20</v>
      </c>
      <c r="E129" s="4"/>
      <c r="F129" s="65">
        <f t="shared" si="22"/>
        <v>200</v>
      </c>
      <c r="G129" s="6">
        <v>709000014</v>
      </c>
      <c r="H129" s="793">
        <v>0</v>
      </c>
      <c r="J129" s="135"/>
      <c r="K129" s="135"/>
      <c r="L129" s="144"/>
    </row>
    <row r="130" spans="1:12" ht="17.25" customHeight="1" x14ac:dyDescent="0.2">
      <c r="A130" s="57" t="s">
        <v>447</v>
      </c>
      <c r="B130" s="70">
        <f>ROUNDUP(B125+B127,0)-B129</f>
        <v>110</v>
      </c>
      <c r="C130" s="3" t="s">
        <v>12</v>
      </c>
      <c r="D130" s="4">
        <v>13</v>
      </c>
      <c r="E130" s="4"/>
      <c r="F130" s="65">
        <f t="shared" si="22"/>
        <v>1430</v>
      </c>
      <c r="G130" s="6">
        <v>709000015</v>
      </c>
      <c r="H130" s="793">
        <v>0</v>
      </c>
      <c r="J130" s="135"/>
      <c r="K130" s="135"/>
      <c r="L130" s="144"/>
    </row>
    <row r="131" spans="1:12" x14ac:dyDescent="0.2">
      <c r="A131" s="57" t="s">
        <v>446</v>
      </c>
      <c r="B131" s="70">
        <f>B124*2+H131</f>
        <v>10</v>
      </c>
      <c r="C131" s="3" t="s">
        <v>12</v>
      </c>
      <c r="D131" s="4">
        <v>17</v>
      </c>
      <c r="E131" s="4"/>
      <c r="F131" s="65">
        <f t="shared" si="22"/>
        <v>170</v>
      </c>
      <c r="G131" s="6">
        <v>709000011</v>
      </c>
      <c r="H131" s="793">
        <v>0</v>
      </c>
      <c r="J131" s="135"/>
      <c r="K131" s="135"/>
      <c r="L131" s="144"/>
    </row>
    <row r="132" spans="1:12" ht="17.25" customHeight="1" x14ac:dyDescent="0.2">
      <c r="A132" s="57" t="s">
        <v>447</v>
      </c>
      <c r="B132" s="70">
        <f>ROUNDUP(B125+B127,0)-B131+H132</f>
        <v>110</v>
      </c>
      <c r="C132" s="3" t="s">
        <v>12</v>
      </c>
      <c r="D132" s="4">
        <v>10</v>
      </c>
      <c r="E132" s="4"/>
      <c r="F132" s="65">
        <f t="shared" si="22"/>
        <v>1100</v>
      </c>
      <c r="G132" s="6">
        <v>709000010</v>
      </c>
      <c r="H132" s="793">
        <v>0</v>
      </c>
      <c r="J132" s="135"/>
      <c r="K132" s="135"/>
      <c r="L132" s="144"/>
    </row>
    <row r="133" spans="1:12" ht="17.25" customHeight="1" x14ac:dyDescent="0.2">
      <c r="A133" s="711"/>
      <c r="B133" s="771"/>
      <c r="C133" s="56"/>
      <c r="D133" s="715"/>
      <c r="E133" s="715"/>
      <c r="F133" s="716">
        <f>SUM(F124:F132)</f>
        <v>8805</v>
      </c>
      <c r="G133" s="731"/>
      <c r="H133" s="793"/>
      <c r="J133" s="135"/>
      <c r="K133" s="135"/>
      <c r="L133" s="144"/>
    </row>
    <row r="134" spans="1:12" ht="17.25" customHeight="1" x14ac:dyDescent="0.2">
      <c r="A134" s="711"/>
      <c r="B134" s="771"/>
      <c r="C134" s="771"/>
      <c r="D134" s="772"/>
      <c r="E134" s="772"/>
      <c r="F134" s="773"/>
      <c r="G134" s="160"/>
      <c r="H134" s="135"/>
      <c r="I134" s="135"/>
      <c r="J134" s="135"/>
      <c r="K134" s="135"/>
      <c r="L134" s="144"/>
    </row>
    <row r="135" spans="1:12" ht="51" x14ac:dyDescent="0.2">
      <c r="A135" s="63" t="s">
        <v>457</v>
      </c>
      <c r="B135" s="3"/>
      <c r="C135" s="3"/>
      <c r="D135" s="4"/>
      <c r="E135" s="4"/>
      <c r="F135" s="65"/>
      <c r="H135" s="774" t="s">
        <v>466</v>
      </c>
      <c r="I135" s="135"/>
      <c r="J135" s="135"/>
      <c r="K135" s="135"/>
      <c r="L135" s="144"/>
    </row>
    <row r="136" spans="1:12" ht="25.5" x14ac:dyDescent="0.2">
      <c r="A136" s="57" t="s">
        <v>301</v>
      </c>
      <c r="B136" s="775">
        <f>$B$27*$B$34+$B$37+$B$40+$B$43+$B$46+$B$49+$B$52+$B$55+$B$59+$B$63+H136</f>
        <v>7</v>
      </c>
      <c r="C136" s="3" t="s">
        <v>12</v>
      </c>
      <c r="D136" s="4">
        <v>155</v>
      </c>
      <c r="E136" s="4"/>
      <c r="F136" s="65">
        <f t="shared" ref="F136:F141" si="23">B136*D136</f>
        <v>1085</v>
      </c>
      <c r="G136" s="6">
        <v>709000500</v>
      </c>
      <c r="H136" s="792">
        <v>0</v>
      </c>
      <c r="I136" s="146"/>
      <c r="J136" s="146"/>
      <c r="K136" s="135"/>
      <c r="L136" s="144"/>
    </row>
    <row r="137" spans="1:12" x14ac:dyDescent="0.2">
      <c r="A137" s="57" t="s">
        <v>458</v>
      </c>
      <c r="B137" s="776">
        <f>$B$27*$B$34*6+$B$37*8+$B$40*6+$B$43*14+$B$46*6+$B$49*14+$B$52*10+$B$55*7+$B$59*15+$B$63*16+$B$70*4+$B$74*7+$B$82*16+H137</f>
        <v>71</v>
      </c>
      <c r="C137" s="3" t="s">
        <v>12</v>
      </c>
      <c r="D137" s="4">
        <v>25</v>
      </c>
      <c r="E137" s="4"/>
      <c r="F137" s="65">
        <f t="shared" ref="F137" si="24">B137*D137</f>
        <v>1775</v>
      </c>
      <c r="G137" s="6">
        <v>709000510</v>
      </c>
      <c r="H137" s="793">
        <v>0</v>
      </c>
      <c r="I137" s="135"/>
      <c r="J137" s="135"/>
      <c r="K137" s="135"/>
      <c r="L137" s="144"/>
    </row>
    <row r="138" spans="1:12" x14ac:dyDescent="0.2">
      <c r="A138" s="57" t="s">
        <v>459</v>
      </c>
      <c r="B138" s="776">
        <f>$B$27*$B$34*3+$B$37*4+$B$40*3+$B$43*7+$B$46*3+$B$49*7+$B$52*5+$B$55*4+$B$59*8+$B$63*8+$B$70*2+$B$74*4+$B$82*8+H138</f>
        <v>28</v>
      </c>
      <c r="C138" s="3" t="s">
        <v>12</v>
      </c>
      <c r="D138" s="4">
        <v>33</v>
      </c>
      <c r="E138" s="4"/>
      <c r="F138" s="65">
        <f t="shared" si="23"/>
        <v>924</v>
      </c>
      <c r="G138" s="6">
        <v>709000511</v>
      </c>
      <c r="H138" s="793">
        <v>-10</v>
      </c>
      <c r="I138" s="135"/>
      <c r="J138" s="135"/>
      <c r="K138" s="135"/>
      <c r="L138" s="144"/>
    </row>
    <row r="139" spans="1:12" x14ac:dyDescent="0.2">
      <c r="A139" s="57" t="s">
        <v>463</v>
      </c>
      <c r="B139" s="776">
        <f>$B$27*$B$34*4+$B$37*12+$B$40*7+$B$43*14+$B$46*7+$B$49*14+$B$52*22+$B$55*16+$B$59*22+$B$63*16+$B$70*24+$B$74*44+$B$82*16+H139</f>
        <v>112</v>
      </c>
      <c r="C139" s="3" t="s">
        <v>12</v>
      </c>
      <c r="D139" s="4">
        <v>30</v>
      </c>
      <c r="E139" s="4"/>
      <c r="F139" s="65">
        <f>B139*D139</f>
        <v>3360</v>
      </c>
      <c r="G139" s="6">
        <v>709000021</v>
      </c>
      <c r="H139" s="793">
        <v>2</v>
      </c>
      <c r="I139" s="135"/>
      <c r="J139" s="135"/>
      <c r="K139" s="135"/>
      <c r="L139" s="144"/>
    </row>
    <row r="140" spans="1:12" x14ac:dyDescent="0.2">
      <c r="A140" s="57" t="s">
        <v>464</v>
      </c>
      <c r="B140" s="776">
        <f>($B$27*$B$34*4+$B$37*12+$B$40*7+$B$43*14+$B$46*7+$B$49*14+$B$52*22+$B$55*16+$B$59*22+$B$63*16+$B$70*24+$B$74*44+$B$82*16)/2+H140</f>
        <v>46</v>
      </c>
      <c r="C140" s="3" t="s">
        <v>12</v>
      </c>
      <c r="D140" s="4">
        <v>36</v>
      </c>
      <c r="E140" s="4"/>
      <c r="F140" s="65">
        <f>B139*D140</f>
        <v>4032</v>
      </c>
      <c r="G140" s="6">
        <v>709000021</v>
      </c>
      <c r="H140" s="793">
        <v>-9</v>
      </c>
      <c r="I140" s="135"/>
      <c r="J140" s="135"/>
      <c r="K140" s="135"/>
      <c r="L140" s="144"/>
    </row>
    <row r="141" spans="1:12" x14ac:dyDescent="0.2">
      <c r="A141" s="57" t="s">
        <v>465</v>
      </c>
      <c r="B141" s="70">
        <f>B136*1+H141</f>
        <v>7</v>
      </c>
      <c r="C141" s="3" t="s">
        <v>12</v>
      </c>
      <c r="D141" s="4">
        <v>18.22</v>
      </c>
      <c r="E141" s="4"/>
      <c r="F141" s="65">
        <f t="shared" si="23"/>
        <v>127.53999999999999</v>
      </c>
      <c r="G141" s="6">
        <v>709000014</v>
      </c>
      <c r="H141" s="793">
        <v>0</v>
      </c>
      <c r="I141" s="135"/>
      <c r="J141" s="135"/>
      <c r="K141" s="135"/>
      <c r="L141" s="144"/>
    </row>
    <row r="142" spans="1:12" ht="17.25" customHeight="1" x14ac:dyDescent="0.2">
      <c r="A142" s="57" t="s">
        <v>460</v>
      </c>
      <c r="B142" s="70">
        <f>B137+H142</f>
        <v>71</v>
      </c>
      <c r="C142" s="3" t="s">
        <v>12</v>
      </c>
      <c r="D142" s="4">
        <v>13</v>
      </c>
      <c r="E142" s="4"/>
      <c r="F142" s="65">
        <f t="shared" ref="F142:F143" si="25">B142*D142</f>
        <v>923</v>
      </c>
      <c r="G142" s="6">
        <v>709000015</v>
      </c>
      <c r="H142" s="793"/>
      <c r="I142" s="135"/>
      <c r="J142" s="135"/>
      <c r="K142" s="135"/>
      <c r="L142" s="144"/>
    </row>
    <row r="143" spans="1:12" x14ac:dyDescent="0.2">
      <c r="A143" s="57" t="s">
        <v>461</v>
      </c>
      <c r="B143" s="70">
        <f>B138*1+H143</f>
        <v>28</v>
      </c>
      <c r="C143" s="3" t="s">
        <v>12</v>
      </c>
      <c r="D143" s="4">
        <v>13</v>
      </c>
      <c r="E143" s="4"/>
      <c r="F143" s="65">
        <f t="shared" si="25"/>
        <v>364</v>
      </c>
      <c r="G143" s="6">
        <v>709000011</v>
      </c>
      <c r="H143" s="793"/>
      <c r="I143" s="135"/>
      <c r="J143" s="135"/>
      <c r="K143" s="135"/>
      <c r="L143" s="144"/>
    </row>
    <row r="144" spans="1:12" ht="17.25" customHeight="1" x14ac:dyDescent="0.2">
      <c r="A144" s="57" t="s">
        <v>462</v>
      </c>
      <c r="B144" s="70">
        <f>(B138+B139)*1+H144</f>
        <v>120</v>
      </c>
      <c r="C144" s="3" t="s">
        <v>12</v>
      </c>
      <c r="D144" s="4">
        <v>13</v>
      </c>
      <c r="E144" s="4"/>
      <c r="F144" s="65">
        <f t="shared" ref="F144" si="26">B144*D144</f>
        <v>1560</v>
      </c>
      <c r="G144" s="6">
        <v>709000010</v>
      </c>
      <c r="H144" s="793">
        <v>-20</v>
      </c>
      <c r="I144" s="135"/>
      <c r="J144" s="135"/>
      <c r="K144" s="135"/>
      <c r="L144" s="144"/>
    </row>
    <row r="145" spans="1:13" ht="17.25" customHeight="1" x14ac:dyDescent="0.2">
      <c r="A145" s="711"/>
      <c r="B145" s="714"/>
      <c r="C145" s="56"/>
      <c r="D145" s="715"/>
      <c r="E145" s="715"/>
      <c r="F145" s="716">
        <f>SUM(F136:F144)</f>
        <v>14150.54</v>
      </c>
      <c r="G145" s="709"/>
      <c r="H145" s="135"/>
      <c r="I145" s="135"/>
      <c r="J145" s="135"/>
      <c r="K145" s="135"/>
      <c r="L145" s="144"/>
    </row>
    <row r="146" spans="1:13" x14ac:dyDescent="0.2">
      <c r="A146" s="66"/>
      <c r="B146" s="56"/>
      <c r="C146" s="56"/>
      <c r="D146" s="72"/>
      <c r="E146" s="72"/>
      <c r="F146" s="73" t="s">
        <v>26</v>
      </c>
      <c r="G146" s="74">
        <f>(B137+B139)*4+(B138+B140)*8</f>
        <v>1324</v>
      </c>
      <c r="H146" s="135"/>
      <c r="I146" s="135"/>
      <c r="J146" s="135"/>
      <c r="K146" s="135"/>
      <c r="L146" s="144"/>
    </row>
    <row r="147" spans="1:13" x14ac:dyDescent="0.2">
      <c r="A147" s="66"/>
      <c r="B147" s="56"/>
      <c r="C147" s="56"/>
      <c r="D147" s="72"/>
      <c r="E147" s="72"/>
      <c r="F147" s="75" t="s">
        <v>195</v>
      </c>
      <c r="G147" s="76"/>
      <c r="H147" s="135"/>
      <c r="I147" s="135"/>
      <c r="J147" s="135"/>
      <c r="K147" s="135"/>
      <c r="L147" s="144"/>
    </row>
    <row r="148" spans="1:13" x14ac:dyDescent="0.2">
      <c r="A148" s="77"/>
      <c r="B148" s="78"/>
      <c r="C148" s="78"/>
      <c r="D148" s="79"/>
      <c r="E148" s="79"/>
      <c r="F148" s="80" t="s">
        <v>196</v>
      </c>
      <c r="G148" s="81">
        <f>EAs!F72+EAs!G72</f>
        <v>104</v>
      </c>
      <c r="H148" s="135"/>
      <c r="I148" s="135"/>
      <c r="J148" s="135"/>
      <c r="K148" s="135"/>
      <c r="L148" s="144"/>
    </row>
    <row r="149" spans="1:13" x14ac:dyDescent="0.2">
      <c r="B149" s="44"/>
      <c r="D149" s="68"/>
      <c r="E149" s="68"/>
      <c r="F149" s="64"/>
      <c r="G149" s="45"/>
      <c r="H149" s="135"/>
      <c r="I149" s="135"/>
      <c r="J149" s="135"/>
      <c r="K149" s="135"/>
      <c r="L149" s="144"/>
    </row>
    <row r="150" spans="1:13" s="88" customFormat="1" ht="15.75" x14ac:dyDescent="0.2">
      <c r="A150" s="82" t="s">
        <v>77</v>
      </c>
      <c r="B150" s="83"/>
      <c r="C150" s="84"/>
      <c r="D150" s="85"/>
      <c r="E150" s="85"/>
      <c r="F150" s="794">
        <f>F34+F37+F40+F43+F46+F49+F52+F55+F59+F63+F66+HW!F70+F74+F78+F82+F93+F103+F120+F133+F145</f>
        <v>36435.79</v>
      </c>
      <c r="G150" s="87"/>
      <c r="H150" s="147"/>
      <c r="I150" s="147"/>
      <c r="J150" s="147"/>
      <c r="K150" s="147"/>
      <c r="L150" s="148"/>
      <c r="M150" s="87"/>
    </row>
    <row r="151" spans="1:13" x14ac:dyDescent="0.2">
      <c r="H151" s="135"/>
      <c r="I151" s="135"/>
      <c r="J151" s="135"/>
      <c r="K151" s="135"/>
      <c r="L151" s="144"/>
    </row>
    <row r="152" spans="1:13" x14ac:dyDescent="0.2">
      <c r="H152" s="135"/>
      <c r="I152" s="135"/>
      <c r="J152" s="135"/>
      <c r="K152" s="135"/>
      <c r="L152" s="144"/>
    </row>
    <row r="153" spans="1:13" x14ac:dyDescent="0.2">
      <c r="A153" s="448" t="s">
        <v>62</v>
      </c>
      <c r="B153" s="6"/>
      <c r="C153" s="3"/>
      <c r="D153" s="4"/>
      <c r="E153" s="89"/>
      <c r="F153" s="89"/>
      <c r="G153" s="6" t="s">
        <v>73</v>
      </c>
      <c r="H153" s="135"/>
      <c r="I153" s="135"/>
      <c r="J153" s="135"/>
      <c r="K153" s="135"/>
      <c r="L153" s="144"/>
    </row>
    <row r="154" spans="1:13" x14ac:dyDescent="0.2">
      <c r="A154" s="57" t="s">
        <v>67</v>
      </c>
      <c r="B154" s="531">
        <v>0</v>
      </c>
      <c r="C154" s="3" t="s">
        <v>12</v>
      </c>
      <c r="D154" s="4">
        <v>550</v>
      </c>
      <c r="E154" s="89"/>
      <c r="F154" s="5">
        <f t="shared" ref="F154:F173" si="27">B154*D154</f>
        <v>0</v>
      </c>
      <c r="G154" s="467"/>
      <c r="H154" s="135"/>
      <c r="I154" s="135"/>
      <c r="J154" s="135"/>
      <c r="K154" s="135"/>
      <c r="L154" s="144"/>
    </row>
    <row r="155" spans="1:13" x14ac:dyDescent="0.2">
      <c r="A155" s="57" t="str">
        <f>Mengengerüst!A30</f>
        <v>Sensor optisch Traverse</v>
      </c>
      <c r="B155" s="59">
        <f>EAs!B37+EAs!H37</f>
        <v>24</v>
      </c>
      <c r="C155" s="3" t="s">
        <v>12</v>
      </c>
      <c r="D155" s="4">
        <v>25</v>
      </c>
      <c r="E155" s="89"/>
      <c r="F155" s="5">
        <f>B155*D155</f>
        <v>600</v>
      </c>
      <c r="G155" s="469">
        <v>827072200</v>
      </c>
      <c r="H155" s="135"/>
      <c r="I155" s="135"/>
      <c r="J155" s="135"/>
      <c r="K155" s="135"/>
      <c r="L155" s="144"/>
    </row>
    <row r="156" spans="1:13" x14ac:dyDescent="0.2">
      <c r="A156" s="57" t="s">
        <v>383</v>
      </c>
      <c r="B156" s="59"/>
      <c r="C156" s="3" t="s">
        <v>12</v>
      </c>
      <c r="D156" s="4">
        <v>8</v>
      </c>
      <c r="E156" s="89"/>
      <c r="F156" s="5">
        <f>B156*D156</f>
        <v>0</v>
      </c>
      <c r="G156" s="469" t="s">
        <v>385</v>
      </c>
      <c r="H156" s="135"/>
      <c r="I156" s="135"/>
      <c r="J156" s="135"/>
      <c r="K156" s="135"/>
      <c r="L156" s="144"/>
    </row>
    <row r="157" spans="1:13" ht="25.5" x14ac:dyDescent="0.2">
      <c r="A157" s="57" t="str">
        <f>EAs!A38</f>
        <v>Reflexionslichtschranke RSM (DIRECT)</v>
      </c>
      <c r="B157" s="59">
        <f>EAs!B38</f>
        <v>0</v>
      </c>
      <c r="C157" s="53" t="s">
        <v>12</v>
      </c>
      <c r="D157" s="4">
        <v>45</v>
      </c>
      <c r="E157" s="89"/>
      <c r="F157" s="5">
        <f>B157*D157</f>
        <v>0</v>
      </c>
      <c r="G157" s="466">
        <v>827072207</v>
      </c>
      <c r="H157" s="135"/>
      <c r="I157" s="135"/>
      <c r="J157" s="135"/>
      <c r="K157" s="135"/>
      <c r="L157" s="144"/>
    </row>
    <row r="158" spans="1:13" x14ac:dyDescent="0.2">
      <c r="A158" s="57" t="s">
        <v>399</v>
      </c>
      <c r="B158" s="59">
        <f>EAs!B39</f>
        <v>2</v>
      </c>
      <c r="C158" s="3" t="s">
        <v>12</v>
      </c>
      <c r="D158" s="4">
        <v>63</v>
      </c>
      <c r="E158" s="89"/>
      <c r="F158" s="5">
        <f t="shared" si="27"/>
        <v>126</v>
      </c>
      <c r="G158" s="250">
        <v>827072205</v>
      </c>
      <c r="H158" s="135"/>
      <c r="I158" s="135"/>
      <c r="J158" s="135"/>
      <c r="K158" s="135"/>
      <c r="L158" s="144"/>
    </row>
    <row r="159" spans="1:13" ht="25.5" x14ac:dyDescent="0.2">
      <c r="A159" s="103" t="str">
        <f>Mengengerüst!A155</f>
        <v>Sensor Spulenprüfung voll/leer</v>
      </c>
      <c r="B159" s="59">
        <f>Mengengerüst!B155</f>
        <v>0</v>
      </c>
      <c r="C159" s="53" t="s">
        <v>12</v>
      </c>
      <c r="D159" s="4">
        <v>126</v>
      </c>
      <c r="E159" s="89"/>
      <c r="F159" s="5">
        <f t="shared" si="27"/>
        <v>0</v>
      </c>
      <c r="G159" s="706" t="s">
        <v>432</v>
      </c>
      <c r="H159" s="135"/>
      <c r="I159" s="135"/>
      <c r="J159" s="135"/>
      <c r="K159" s="135"/>
      <c r="L159" s="144"/>
    </row>
    <row r="160" spans="1:13" x14ac:dyDescent="0.2">
      <c r="A160" s="52" t="s">
        <v>103</v>
      </c>
      <c r="B160" s="59">
        <f>EAs!B40</f>
        <v>0</v>
      </c>
      <c r="C160" s="3" t="s">
        <v>12</v>
      </c>
      <c r="D160" s="4">
        <v>150</v>
      </c>
      <c r="E160" s="89"/>
      <c r="F160" s="5">
        <f>B160*D160</f>
        <v>0</v>
      </c>
      <c r="G160" s="467"/>
      <c r="H160" s="135"/>
      <c r="I160" s="135"/>
      <c r="J160" s="135"/>
      <c r="K160" s="135"/>
      <c r="L160" s="144"/>
    </row>
    <row r="161" spans="1:12" x14ac:dyDescent="0.2">
      <c r="A161" s="52" t="s">
        <v>244</v>
      </c>
      <c r="B161" s="531">
        <v>0</v>
      </c>
      <c r="C161" s="3" t="s">
        <v>16</v>
      </c>
      <c r="D161" s="707">
        <v>0.4</v>
      </c>
      <c r="E161" s="89"/>
      <c r="F161" s="5">
        <f>B161*D161</f>
        <v>0</v>
      </c>
      <c r="G161" s="467"/>
      <c r="H161" s="135"/>
      <c r="I161" s="135"/>
      <c r="J161" s="135"/>
      <c r="K161" s="135"/>
      <c r="L161" s="144"/>
    </row>
    <row r="162" spans="1:12" x14ac:dyDescent="0.2">
      <c r="A162" s="52" t="s">
        <v>112</v>
      </c>
      <c r="B162" s="2">
        <f>EAs!B50</f>
        <v>3</v>
      </c>
      <c r="C162" s="3" t="s">
        <v>12</v>
      </c>
      <c r="D162" s="4">
        <v>72</v>
      </c>
      <c r="E162" s="89"/>
      <c r="F162" s="5">
        <f>B162*D162</f>
        <v>216</v>
      </c>
      <c r="G162" s="467">
        <v>790000006</v>
      </c>
      <c r="H162" s="135"/>
      <c r="I162" s="135"/>
      <c r="J162" s="135"/>
      <c r="K162" s="639"/>
      <c r="L162" s="144"/>
    </row>
    <row r="163" spans="1:12" x14ac:dyDescent="0.2">
      <c r="A163" s="52" t="str">
        <f>EAs!A57</f>
        <v>Spulenumsetzstation</v>
      </c>
      <c r="B163" s="59">
        <f>EAs!B57</f>
        <v>0</v>
      </c>
      <c r="C163" s="3" t="s">
        <v>12</v>
      </c>
      <c r="D163" s="4">
        <v>0</v>
      </c>
      <c r="E163" s="89"/>
      <c r="F163" s="5">
        <f>B163*D163</f>
        <v>0</v>
      </c>
      <c r="G163" s="467"/>
      <c r="H163" s="135"/>
      <c r="I163" s="135"/>
      <c r="J163" s="135"/>
      <c r="K163" s="135"/>
      <c r="L163" s="144"/>
    </row>
    <row r="164" spans="1:12" x14ac:dyDescent="0.2">
      <c r="A164" s="57" t="s">
        <v>27</v>
      </c>
      <c r="B164" s="59">
        <f>Mengengerüst!B12+Mengengerüst!B153+Mengengerüst!B154+Mengengerüst!B155+Mengengerüst!B169</f>
        <v>29</v>
      </c>
      <c r="C164" s="3" t="s">
        <v>12</v>
      </c>
      <c r="D164" s="4">
        <v>20</v>
      </c>
      <c r="E164" s="89"/>
      <c r="F164" s="5">
        <f>B164*D164</f>
        <v>580</v>
      </c>
      <c r="G164" s="467" t="s">
        <v>308</v>
      </c>
      <c r="H164" s="135"/>
      <c r="I164" s="135"/>
      <c r="J164" s="135"/>
      <c r="K164" s="135"/>
      <c r="L164" s="144"/>
    </row>
    <row r="165" spans="1:12" x14ac:dyDescent="0.2">
      <c r="A165" s="52" t="s">
        <v>85</v>
      </c>
      <c r="B165" s="59">
        <f>SUM(EAs!G42:G50)</f>
        <v>27</v>
      </c>
      <c r="C165" s="3" t="s">
        <v>12</v>
      </c>
      <c r="D165" s="4">
        <v>15</v>
      </c>
      <c r="E165" s="89"/>
      <c r="F165" s="5">
        <f t="shared" si="27"/>
        <v>405</v>
      </c>
      <c r="G165" s="467" t="s">
        <v>308</v>
      </c>
      <c r="H165" s="135"/>
      <c r="I165" s="135"/>
      <c r="J165" s="135"/>
      <c r="K165" s="135"/>
      <c r="L165" s="144"/>
    </row>
    <row r="166" spans="1:12" x14ac:dyDescent="0.2">
      <c r="A166" s="57" t="s">
        <v>476</v>
      </c>
      <c r="B166" s="59">
        <f>SUM(Mengengerüst!B172:B178)</f>
        <v>19</v>
      </c>
      <c r="C166" s="3" t="s">
        <v>12</v>
      </c>
      <c r="D166" s="536">
        <v>23</v>
      </c>
      <c r="E166" s="664"/>
      <c r="F166" s="5">
        <f t="shared" si="27"/>
        <v>437</v>
      </c>
      <c r="G166" s="467"/>
      <c r="H166" s="135"/>
      <c r="I166" s="135"/>
      <c r="J166" s="135"/>
      <c r="K166" s="135"/>
      <c r="L166" s="144"/>
    </row>
    <row r="167" spans="1:12" x14ac:dyDescent="0.2">
      <c r="A167" s="57" t="s">
        <v>368</v>
      </c>
      <c r="B167" s="532">
        <v>66</v>
      </c>
      <c r="C167" s="3" t="s">
        <v>16</v>
      </c>
      <c r="D167" s="536">
        <v>12</v>
      </c>
      <c r="E167" s="664"/>
      <c r="F167" s="5">
        <f t="shared" si="27"/>
        <v>792</v>
      </c>
      <c r="G167" s="467"/>
      <c r="H167" s="135"/>
      <c r="I167" s="135"/>
      <c r="J167" s="135"/>
      <c r="K167" s="135"/>
      <c r="L167" s="144"/>
    </row>
    <row r="168" spans="1:12" x14ac:dyDescent="0.2">
      <c r="A168" s="57" t="s">
        <v>369</v>
      </c>
      <c r="B168" s="721">
        <v>0</v>
      </c>
      <c r="C168" s="3" t="s">
        <v>16</v>
      </c>
      <c r="D168" s="4">
        <v>11</v>
      </c>
      <c r="E168" s="89"/>
      <c r="F168" s="5">
        <f t="shared" si="27"/>
        <v>0</v>
      </c>
      <c r="G168" s="467">
        <v>715000020</v>
      </c>
      <c r="H168" s="135"/>
      <c r="I168" s="135"/>
      <c r="J168" s="639"/>
      <c r="K168" s="135"/>
      <c r="L168" s="144"/>
    </row>
    <row r="169" spans="1:12" x14ac:dyDescent="0.2">
      <c r="A169" s="57" t="s">
        <v>398</v>
      </c>
      <c r="B169" s="531">
        <v>0</v>
      </c>
      <c r="C169" s="3" t="s">
        <v>16</v>
      </c>
      <c r="D169" s="4">
        <v>7</v>
      </c>
      <c r="E169" s="89"/>
      <c r="F169" s="5">
        <f t="shared" ref="F169" si="28">B169*D169</f>
        <v>0</v>
      </c>
      <c r="G169" s="467">
        <v>715003010</v>
      </c>
      <c r="H169" s="135"/>
      <c r="I169" s="135"/>
      <c r="J169" s="135"/>
      <c r="K169" s="135"/>
      <c r="L169" s="144"/>
    </row>
    <row r="170" spans="1:12" x14ac:dyDescent="0.2">
      <c r="A170" s="57" t="s">
        <v>305</v>
      </c>
      <c r="B170" s="531">
        <v>0</v>
      </c>
      <c r="C170" s="53" t="s">
        <v>288</v>
      </c>
      <c r="D170" s="4">
        <v>120</v>
      </c>
      <c r="E170" s="89"/>
      <c r="F170" s="5">
        <f>B170*D170</f>
        <v>0</v>
      </c>
      <c r="G170" s="467"/>
      <c r="H170" s="135"/>
      <c r="I170" s="135"/>
      <c r="J170" s="135"/>
      <c r="K170" s="135"/>
      <c r="L170" s="144"/>
    </row>
    <row r="171" spans="1:12" x14ac:dyDescent="0.2">
      <c r="A171" s="52" t="s">
        <v>133</v>
      </c>
      <c r="B171" s="2">
        <f>EAs!B28</f>
        <v>0</v>
      </c>
      <c r="C171" s="3" t="s">
        <v>12</v>
      </c>
      <c r="D171" s="4">
        <v>97</v>
      </c>
      <c r="E171" s="89"/>
      <c r="F171" s="5">
        <f t="shared" si="27"/>
        <v>0</v>
      </c>
      <c r="G171" s="635">
        <v>790000703</v>
      </c>
      <c r="H171" s="135"/>
      <c r="I171" s="135"/>
      <c r="J171" s="135"/>
      <c r="K171" s="135"/>
      <c r="L171" s="144"/>
    </row>
    <row r="172" spans="1:12" x14ac:dyDescent="0.2">
      <c r="A172" s="52" t="s">
        <v>28</v>
      </c>
      <c r="B172" s="209">
        <f>B176+B166/2</f>
        <v>15.5</v>
      </c>
      <c r="C172" s="3" t="s">
        <v>12</v>
      </c>
      <c r="D172" s="65">
        <v>9</v>
      </c>
      <c r="E172" s="5"/>
      <c r="F172" s="5">
        <f t="shared" si="27"/>
        <v>139.5</v>
      </c>
      <c r="G172" s="467"/>
      <c r="H172" s="135"/>
      <c r="I172" s="135"/>
      <c r="J172" s="135"/>
      <c r="K172" s="135"/>
      <c r="L172" s="144"/>
    </row>
    <row r="173" spans="1:12" ht="25.5" x14ac:dyDescent="0.2">
      <c r="A173" s="52" t="s">
        <v>353</v>
      </c>
      <c r="B173" s="531">
        <v>1</v>
      </c>
      <c r="C173" s="3" t="s">
        <v>12</v>
      </c>
      <c r="D173" s="533">
        <v>500</v>
      </c>
      <c r="E173" s="665"/>
      <c r="F173" s="5">
        <f t="shared" si="27"/>
        <v>500</v>
      </c>
      <c r="G173" s="467"/>
      <c r="H173" s="135"/>
      <c r="I173" s="135"/>
      <c r="J173" s="135"/>
      <c r="K173" s="135"/>
      <c r="L173" s="144"/>
    </row>
    <row r="174" spans="1:12" x14ac:dyDescent="0.2">
      <c r="A174" s="7"/>
      <c r="D174" s="91"/>
      <c r="E174" s="162"/>
      <c r="G174" s="467"/>
      <c r="H174" s="135"/>
      <c r="I174" s="135"/>
      <c r="J174" s="135"/>
      <c r="K174" s="135"/>
      <c r="L174" s="144"/>
    </row>
    <row r="175" spans="1:12" x14ac:dyDescent="0.2">
      <c r="A175" s="57" t="s">
        <v>400</v>
      </c>
      <c r="B175" s="701">
        <f>B95+B96+B97+B98+B99+B100+B101+(B171*2)</f>
        <v>15</v>
      </c>
      <c r="C175" s="3" t="s">
        <v>12</v>
      </c>
      <c r="D175" s="90">
        <v>37</v>
      </c>
      <c r="E175" s="666"/>
      <c r="F175" s="5">
        <f t="shared" ref="F175:F182" si="29">B175*D175</f>
        <v>555</v>
      </c>
      <c r="G175" s="467"/>
      <c r="H175" s="135"/>
      <c r="I175" s="135"/>
      <c r="J175" s="135"/>
      <c r="K175" s="135"/>
      <c r="L175" s="144"/>
    </row>
    <row r="176" spans="1:12" ht="25.5" x14ac:dyDescent="0.2">
      <c r="A176" s="57" t="s">
        <v>478</v>
      </c>
      <c r="B176" s="700">
        <f>B37+B40+B43+B46+B49+B52+B55+B59+B63+B70+B74+B82</f>
        <v>6</v>
      </c>
      <c r="C176" s="3" t="s">
        <v>12</v>
      </c>
      <c r="D176" s="4">
        <v>146</v>
      </c>
      <c r="E176" s="89"/>
      <c r="F176" s="5">
        <f t="shared" si="29"/>
        <v>876</v>
      </c>
      <c r="G176" s="467"/>
      <c r="H176" s="135"/>
      <c r="I176" s="135"/>
      <c r="J176" s="135"/>
      <c r="K176" s="135"/>
      <c r="L176" s="144"/>
    </row>
    <row r="177" spans="1:13" ht="25.5" x14ac:dyDescent="0.2">
      <c r="A177" s="57" t="s">
        <v>477</v>
      </c>
      <c r="B177" s="2">
        <f>B37+B40+B43+B46+B49+B52+B55+B59+B63+B70+B74+B82</f>
        <v>6</v>
      </c>
      <c r="C177" s="3" t="s">
        <v>12</v>
      </c>
      <c r="D177" s="4">
        <v>450</v>
      </c>
      <c r="E177" s="89"/>
      <c r="F177" s="5">
        <f t="shared" si="29"/>
        <v>2700</v>
      </c>
      <c r="G177" s="467"/>
      <c r="H177" s="147"/>
      <c r="I177" s="147"/>
      <c r="J177" s="147"/>
      <c r="K177" s="147"/>
      <c r="L177" s="148"/>
    </row>
    <row r="178" spans="1:13" ht="25.5" x14ac:dyDescent="0.2">
      <c r="A178" s="57" t="s">
        <v>485</v>
      </c>
      <c r="B178" s="2">
        <f>B37+B40+B43+B46+B49+B52+B55+B59+B63+B70+B74+B82</f>
        <v>6</v>
      </c>
      <c r="C178" s="3" t="s">
        <v>12</v>
      </c>
      <c r="D178" s="4">
        <v>250</v>
      </c>
      <c r="E178" s="89"/>
      <c r="F178" s="5">
        <f t="shared" ref="F178" si="30">B178*D178</f>
        <v>1500</v>
      </c>
      <c r="G178" s="467"/>
      <c r="H178" s="147"/>
      <c r="I178" s="147"/>
      <c r="J178" s="147"/>
      <c r="K178" s="147"/>
      <c r="L178" s="148"/>
    </row>
    <row r="179" spans="1:13" ht="25.5" x14ac:dyDescent="0.2">
      <c r="A179" s="57" t="s">
        <v>474</v>
      </c>
      <c r="B179" s="2">
        <v>0</v>
      </c>
      <c r="C179" s="3" t="s">
        <v>12</v>
      </c>
      <c r="D179" s="4">
        <v>145</v>
      </c>
      <c r="E179" s="89"/>
      <c r="F179" s="5">
        <f t="shared" ref="F179" si="31">B179*D179</f>
        <v>0</v>
      </c>
      <c r="G179" s="467"/>
      <c r="H179" s="147"/>
      <c r="I179" s="147"/>
      <c r="J179" s="147"/>
      <c r="K179" s="147"/>
      <c r="L179" s="148"/>
    </row>
    <row r="180" spans="1:13" ht="25.5" x14ac:dyDescent="0.2">
      <c r="A180" s="57" t="s">
        <v>475</v>
      </c>
      <c r="B180" s="2">
        <v>0</v>
      </c>
      <c r="C180" s="3" t="s">
        <v>12</v>
      </c>
      <c r="D180" s="4">
        <v>136</v>
      </c>
      <c r="E180" s="89"/>
      <c r="F180" s="5">
        <f t="shared" ref="F180" si="32">B180*D180</f>
        <v>0</v>
      </c>
      <c r="G180" s="467"/>
      <c r="H180" s="147"/>
      <c r="I180" s="147"/>
      <c r="J180" s="147"/>
      <c r="K180" s="147"/>
      <c r="L180" s="148"/>
    </row>
    <row r="181" spans="1:13" x14ac:dyDescent="0.2">
      <c r="A181" s="52" t="s">
        <v>320</v>
      </c>
      <c r="B181" s="209">
        <f>B177+B22+B21+B15+B18+B24+2</f>
        <v>8</v>
      </c>
      <c r="C181" s="3" t="s">
        <v>12</v>
      </c>
      <c r="D181" s="4">
        <v>42</v>
      </c>
      <c r="E181" s="89"/>
      <c r="F181" s="5">
        <f t="shared" si="29"/>
        <v>336</v>
      </c>
      <c r="G181" s="467"/>
      <c r="H181" s="135"/>
      <c r="I181" s="135"/>
      <c r="J181" s="135"/>
      <c r="K181" s="135"/>
      <c r="L181" s="144"/>
    </row>
    <row r="182" spans="1:13" x14ac:dyDescent="0.2">
      <c r="A182" s="52" t="s">
        <v>433</v>
      </c>
      <c r="B182" s="2">
        <f>Mengengerüst!B161+Mengengerüst!B162</f>
        <v>1</v>
      </c>
      <c r="C182" s="3" t="s">
        <v>12</v>
      </c>
      <c r="D182" s="4">
        <v>25</v>
      </c>
      <c r="E182" s="89"/>
      <c r="F182" s="5">
        <f t="shared" si="29"/>
        <v>25</v>
      </c>
      <c r="G182" s="467"/>
      <c r="H182" s="135"/>
      <c r="I182" s="135"/>
      <c r="J182" s="135"/>
      <c r="K182" s="135"/>
      <c r="L182" s="144"/>
    </row>
    <row r="183" spans="1:13" s="88" customFormat="1" ht="15" x14ac:dyDescent="0.2">
      <c r="A183" s="7"/>
      <c r="B183" s="45"/>
      <c r="C183" s="44"/>
      <c r="D183" s="44"/>
      <c r="E183" s="44"/>
      <c r="F183" s="44"/>
      <c r="G183" s="468"/>
      <c r="H183" s="135"/>
      <c r="I183" s="135"/>
      <c r="J183" s="135"/>
      <c r="K183" s="135"/>
      <c r="L183" s="144"/>
      <c r="M183" s="87"/>
    </row>
    <row r="184" spans="1:13" ht="15.75" x14ac:dyDescent="0.2">
      <c r="A184" s="82" t="s">
        <v>65</v>
      </c>
      <c r="B184" s="83"/>
      <c r="C184" s="84"/>
      <c r="D184" s="85"/>
      <c r="E184" s="85"/>
      <c r="F184" s="86">
        <f>SUM(F154:F182)</f>
        <v>9787.5</v>
      </c>
      <c r="G184" s="88"/>
    </row>
    <row r="186" spans="1:13" ht="15.75" x14ac:dyDescent="0.2">
      <c r="A186" s="82" t="s">
        <v>78</v>
      </c>
      <c r="B186" s="83"/>
      <c r="C186" s="84"/>
      <c r="D186" s="85"/>
      <c r="E186" s="85"/>
      <c r="F186" s="92">
        <f>F150+F184</f>
        <v>46223.29</v>
      </c>
    </row>
    <row r="188" spans="1:13" x14ac:dyDescent="0.2">
      <c r="D188" s="93"/>
      <c r="E188" s="93"/>
      <c r="F188" s="94"/>
    </row>
  </sheetData>
  <sheetProtection formatCells="0"/>
  <customSheetViews>
    <customSheetView guid="{3AE3C0CE-F6F6-4222-9052-F72F2FCDEDAE}" showGridLines="0" fitToPage="1" hiddenRows="1" topLeftCell="A25">
      <selection activeCell="B27" sqref="B27"/>
      <pageMargins left="0.78740157499999996" right="0.78740157499999996" top="0.984251969" bottom="0.984251969" header="0.51181102300000003" footer="0.51181102300000003"/>
      <pageSetup paperSize="9" scale="45" orientation="portrait" r:id="rId1"/>
      <headerFooter alignWithMargins="0">
        <oddFooter>&amp;L\Kalkul_a\&amp;F&amp;RSeite &amp;P von &amp;N</oddFooter>
      </headerFooter>
    </customSheetView>
  </customSheetViews>
  <mergeCells count="28">
    <mergeCell ref="O54:O63"/>
    <mergeCell ref="P54:P63"/>
    <mergeCell ref="N69:N74"/>
    <mergeCell ref="O69:O74"/>
    <mergeCell ref="P69:P74"/>
    <mergeCell ref="A42:A43"/>
    <mergeCell ref="A39:A40"/>
    <mergeCell ref="A45:A46"/>
    <mergeCell ref="A48:A49"/>
    <mergeCell ref="N54:N63"/>
    <mergeCell ref="H8:J8"/>
    <mergeCell ref="K8:M8"/>
    <mergeCell ref="N39:N49"/>
    <mergeCell ref="O39:O49"/>
    <mergeCell ref="P39:P49"/>
    <mergeCell ref="B107:C107"/>
    <mergeCell ref="K9:L9"/>
    <mergeCell ref="H103:K103"/>
    <mergeCell ref="H9:I9"/>
    <mergeCell ref="I10:J10"/>
    <mergeCell ref="I2:L2"/>
    <mergeCell ref="I3:L3"/>
    <mergeCell ref="I4:L4"/>
    <mergeCell ref="B3:D3"/>
    <mergeCell ref="A4:A5"/>
    <mergeCell ref="B4:D5"/>
    <mergeCell ref="F4:F5"/>
    <mergeCell ref="G4:G5"/>
  </mergeCells>
  <phoneticPr fontId="0" type="noConversion"/>
  <pageMargins left="0.78740157499999996" right="0.78740157499999996" top="0.984251969" bottom="0.984251969" header="0.51181102300000003" footer="0.51181102300000003"/>
  <pageSetup paperSize="9" scale="26" orientation="portrait" r:id="rId2"/>
  <headerFooter alignWithMargins="0">
    <oddFooter>&amp;L\Kalkul_a\&amp;F&amp;RSeite &amp;P von &amp;N</oddFooter>
  </headerFooter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>
    <pageSetUpPr fitToPage="1"/>
  </sheetPr>
  <dimension ref="A1:M82"/>
  <sheetViews>
    <sheetView showGridLines="0" topLeftCell="A17" workbookViewId="0">
      <selection activeCell="B37" sqref="B37"/>
    </sheetView>
  </sheetViews>
  <sheetFormatPr baseColWidth="10" defaultColWidth="11.42578125" defaultRowHeight="12.75" x14ac:dyDescent="0.2"/>
  <cols>
    <col min="1" max="1" width="38.85546875" style="131" customWidth="1"/>
    <col min="2" max="2" width="8.42578125" style="271" customWidth="1"/>
    <col min="3" max="3" width="3" style="131" customWidth="1"/>
    <col min="4" max="4" width="8.28515625" style="131" customWidth="1"/>
    <col min="5" max="5" width="12.5703125" style="131" customWidth="1"/>
    <col min="6" max="6" width="7" style="131" customWidth="1"/>
    <col min="7" max="7" width="6.7109375" style="131" customWidth="1"/>
    <col min="8" max="8" width="7.140625" style="271" customWidth="1"/>
    <col min="9" max="9" width="17.140625" style="271" customWidth="1"/>
    <col min="10" max="10" width="7.7109375" style="271" customWidth="1"/>
    <col min="11" max="11" width="3.42578125" style="131" customWidth="1"/>
    <col min="12" max="12" width="11.42578125" style="131"/>
    <col min="13" max="13" width="44.5703125" style="131" customWidth="1"/>
    <col min="14" max="16384" width="11.42578125" style="131"/>
  </cols>
  <sheetData>
    <row r="1" spans="1:13" ht="15.75" x14ac:dyDescent="0.25">
      <c r="A1" s="335" t="str">
        <f>+DECKBLATT!A1</f>
        <v>KALKULATION SPINNEREI</v>
      </c>
      <c r="B1" s="336"/>
      <c r="C1" s="337"/>
      <c r="D1" s="337"/>
      <c r="E1" s="337"/>
      <c r="F1" s="338" t="s">
        <v>0</v>
      </c>
    </row>
    <row r="2" spans="1:13" ht="15" x14ac:dyDescent="0.2">
      <c r="A2" s="270"/>
      <c r="B2" s="339"/>
      <c r="C2" s="340"/>
      <c r="D2" s="341"/>
      <c r="E2" s="342" t="s">
        <v>0</v>
      </c>
    </row>
    <row r="3" spans="1:13" ht="15.75" x14ac:dyDescent="0.25">
      <c r="A3" s="261" t="str">
        <f>DECKBLATT!A3</f>
        <v>Projekt</v>
      </c>
      <c r="B3" s="900" t="str">
        <f>DECKBLATT!D3</f>
        <v>System</v>
      </c>
      <c r="C3" s="901"/>
      <c r="D3" s="902"/>
      <c r="E3" s="261" t="str">
        <f>DECKBLATT!E3</f>
        <v>Datum</v>
      </c>
      <c r="F3" s="900" t="str">
        <f>DECKBLATT!F3</f>
        <v>Ersteller</v>
      </c>
      <c r="G3" s="901"/>
      <c r="H3" s="902"/>
      <c r="J3" s="849" t="str">
        <f>Mengengerüst!$H$2</f>
        <v>In Grau Markierte Fehlder müssen Zahlenwerte
eingetragen werden</v>
      </c>
      <c r="K3" s="849"/>
      <c r="L3" s="849"/>
      <c r="M3" s="849"/>
    </row>
    <row r="4" spans="1:13" ht="78.75" x14ac:dyDescent="0.2">
      <c r="A4" s="343" t="str">
        <f>DECKBLATT!A4</f>
        <v>Alpha Yarn Egypt 500537_10_0 FSA
Kein PC und keine Visualisierung. 
Textdisplay mit Störmeldungen ohne Grafik</v>
      </c>
      <c r="B4" s="903" t="str">
        <f>DECKBLATT!D4</f>
        <v>FA</v>
      </c>
      <c r="C4" s="904"/>
      <c r="D4" s="905"/>
      <c r="E4" s="344">
        <f>DECKBLATT!E4</f>
        <v>44628</v>
      </c>
      <c r="F4" s="903" t="str">
        <f>DECKBLATT!F4</f>
        <v>Schellhammer</v>
      </c>
      <c r="G4" s="904"/>
      <c r="H4" s="905"/>
      <c r="J4" s="850" t="str">
        <f>Mengengerüst!$H$3</f>
        <v>Lila Markierte Felder Sonderfelder nur Bedingt ändern.</v>
      </c>
      <c r="K4" s="850"/>
      <c r="L4" s="850"/>
      <c r="M4" s="850"/>
    </row>
    <row r="5" spans="1:13" ht="13.5" thickBot="1" x14ac:dyDescent="0.25">
      <c r="A5" s="333"/>
      <c r="C5" s="345"/>
      <c r="E5" s="346"/>
      <c r="J5" s="853" t="str">
        <f>Mengengerüst!$H$4</f>
        <v>Gelb Markierte Felder nicht ändern (Formeln hinterlegt)</v>
      </c>
      <c r="K5" s="853"/>
      <c r="L5" s="853"/>
      <c r="M5" s="853"/>
    </row>
    <row r="6" spans="1:13" ht="13.5" thickBot="1" x14ac:dyDescent="0.25">
      <c r="A6" s="347" t="s">
        <v>60</v>
      </c>
      <c r="B6" s="339"/>
      <c r="C6" s="340"/>
      <c r="D6" s="341"/>
      <c r="E6" s="342"/>
    </row>
    <row r="7" spans="1:13" ht="16.5" thickBot="1" x14ac:dyDescent="0.3">
      <c r="A7" s="348"/>
      <c r="B7" s="339"/>
      <c r="C7" s="340"/>
      <c r="D7" s="349" t="s">
        <v>75</v>
      </c>
      <c r="E7" s="350"/>
      <c r="F7" s="351" t="s">
        <v>76</v>
      </c>
      <c r="G7" s="352"/>
      <c r="H7" s="353"/>
    </row>
    <row r="8" spans="1:13" x14ac:dyDescent="0.2">
      <c r="A8" s="354" t="s">
        <v>1</v>
      </c>
      <c r="B8" s="355"/>
      <c r="C8" s="356"/>
      <c r="D8" s="179" t="s">
        <v>2</v>
      </c>
      <c r="E8" s="357" t="s">
        <v>3</v>
      </c>
      <c r="F8" s="358"/>
      <c r="G8" s="359"/>
      <c r="H8" s="133"/>
    </row>
    <row r="9" spans="1:13" x14ac:dyDescent="0.2">
      <c r="A9" s="360" t="s">
        <v>29</v>
      </c>
      <c r="B9" s="284"/>
      <c r="C9" s="285"/>
      <c r="D9" s="284">
        <v>1</v>
      </c>
      <c r="E9" s="284">
        <v>0</v>
      </c>
      <c r="F9" s="132"/>
      <c r="G9" s="361"/>
      <c r="H9" s="133"/>
    </row>
    <row r="10" spans="1:13" x14ac:dyDescent="0.2">
      <c r="A10" s="360" t="s">
        <v>30</v>
      </c>
      <c r="B10" s="284"/>
      <c r="C10" s="285"/>
      <c r="D10" s="284">
        <v>1</v>
      </c>
      <c r="E10" s="284">
        <v>1</v>
      </c>
      <c r="F10" s="132"/>
      <c r="G10" s="361"/>
      <c r="H10" s="133"/>
    </row>
    <row r="11" spans="1:13" x14ac:dyDescent="0.2">
      <c r="A11" s="360" t="s">
        <v>25</v>
      </c>
      <c r="B11" s="284"/>
      <c r="C11" s="285"/>
      <c r="D11" s="284">
        <v>1</v>
      </c>
      <c r="E11" s="284">
        <v>1</v>
      </c>
      <c r="F11" s="132"/>
      <c r="G11" s="361"/>
      <c r="H11" s="133"/>
    </row>
    <row r="12" spans="1:13" x14ac:dyDescent="0.2">
      <c r="A12" s="360" t="s">
        <v>88</v>
      </c>
      <c r="B12" s="284"/>
      <c r="C12" s="285"/>
      <c r="D12" s="284">
        <v>1</v>
      </c>
      <c r="E12" s="284">
        <v>1</v>
      </c>
      <c r="F12" s="132"/>
      <c r="G12" s="361"/>
      <c r="H12" s="133"/>
    </row>
    <row r="13" spans="1:13" x14ac:dyDescent="0.2">
      <c r="A13" s="360" t="s">
        <v>206</v>
      </c>
      <c r="B13" s="284"/>
      <c r="C13" s="285"/>
      <c r="D13" s="284">
        <v>1</v>
      </c>
      <c r="E13" s="284">
        <v>0</v>
      </c>
      <c r="F13" s="132"/>
      <c r="G13" s="361"/>
      <c r="H13" s="133"/>
    </row>
    <row r="14" spans="1:13" x14ac:dyDescent="0.2">
      <c r="A14" s="360" t="s">
        <v>207</v>
      </c>
      <c r="B14" s="284"/>
      <c r="C14" s="285"/>
      <c r="D14" s="284">
        <v>0</v>
      </c>
      <c r="E14" s="284">
        <v>1</v>
      </c>
      <c r="F14" s="132"/>
      <c r="G14" s="361"/>
      <c r="H14" s="133"/>
    </row>
    <row r="15" spans="1:13" x14ac:dyDescent="0.2">
      <c r="A15" s="360" t="s">
        <v>33</v>
      </c>
      <c r="B15" s="284"/>
      <c r="C15" s="285"/>
      <c r="D15" s="284">
        <v>5</v>
      </c>
      <c r="E15" s="284">
        <v>1</v>
      </c>
      <c r="F15" s="132"/>
      <c r="G15" s="361"/>
      <c r="H15" s="133"/>
    </row>
    <row r="16" spans="1:13" x14ac:dyDescent="0.2">
      <c r="A16" s="360" t="s">
        <v>34</v>
      </c>
      <c r="B16" s="284"/>
      <c r="C16" s="285"/>
      <c r="D16" s="284">
        <v>2</v>
      </c>
      <c r="E16" s="284">
        <v>1</v>
      </c>
      <c r="F16" s="132"/>
      <c r="G16" s="361"/>
      <c r="H16" s="133"/>
    </row>
    <row r="17" spans="1:8" x14ac:dyDescent="0.2">
      <c r="A17" s="360" t="s">
        <v>35</v>
      </c>
      <c r="B17" s="284"/>
      <c r="C17" s="285"/>
      <c r="D17" s="284">
        <v>1</v>
      </c>
      <c r="E17" s="284">
        <v>1</v>
      </c>
      <c r="F17" s="132"/>
      <c r="G17" s="361"/>
      <c r="H17" s="133"/>
    </row>
    <row r="18" spans="1:8" x14ac:dyDescent="0.2">
      <c r="A18" s="360" t="s">
        <v>89</v>
      </c>
      <c r="B18" s="284"/>
      <c r="C18" s="285"/>
      <c r="D18" s="284">
        <v>1</v>
      </c>
      <c r="E18" s="284">
        <v>0</v>
      </c>
      <c r="F18" s="132"/>
      <c r="G18" s="361"/>
      <c r="H18" s="133"/>
    </row>
    <row r="19" spans="1:8" x14ac:dyDescent="0.2">
      <c r="A19" s="360" t="s">
        <v>86</v>
      </c>
      <c r="B19" s="284"/>
      <c r="C19" s="285"/>
      <c r="D19" s="284">
        <v>1</v>
      </c>
      <c r="E19" s="284">
        <v>2</v>
      </c>
      <c r="F19" s="132"/>
      <c r="G19" s="361"/>
      <c r="H19" s="133"/>
    </row>
    <row r="20" spans="1:8" x14ac:dyDescent="0.2">
      <c r="A20" s="362" t="s">
        <v>68</v>
      </c>
      <c r="B20" s="363"/>
      <c r="C20" s="364"/>
      <c r="D20" s="363">
        <v>9</v>
      </c>
      <c r="E20" s="363">
        <v>7</v>
      </c>
      <c r="F20" s="132"/>
      <c r="G20" s="361"/>
      <c r="H20" s="133"/>
    </row>
    <row r="21" spans="1:8" x14ac:dyDescent="0.2">
      <c r="A21" s="365" t="s">
        <v>4</v>
      </c>
      <c r="B21" s="296"/>
      <c r="C21" s="366"/>
      <c r="D21" s="367" t="s">
        <v>0</v>
      </c>
      <c r="E21" s="368" t="s">
        <v>0</v>
      </c>
      <c r="F21" s="369">
        <f>SUM(D9:D20)</f>
        <v>24</v>
      </c>
      <c r="G21" s="370">
        <f>SUM(E9:E20)</f>
        <v>16</v>
      </c>
      <c r="H21" s="133"/>
    </row>
    <row r="22" spans="1:8" ht="13.5" thickBot="1" x14ac:dyDescent="0.25">
      <c r="A22" s="371" t="s">
        <v>283</v>
      </c>
      <c r="B22" s="372"/>
      <c r="C22" s="373"/>
      <c r="D22" s="374"/>
      <c r="E22" s="445">
        <f>HW!B34</f>
        <v>1</v>
      </c>
      <c r="F22" s="375">
        <f>E22*F21</f>
        <v>24</v>
      </c>
      <c r="G22" s="376">
        <f>E22*G21</f>
        <v>16</v>
      </c>
      <c r="H22" s="133"/>
    </row>
    <row r="23" spans="1:8" ht="13.5" thickBot="1" x14ac:dyDescent="0.25">
      <c r="C23" s="377"/>
      <c r="D23" s="378"/>
      <c r="E23" s="378"/>
      <c r="H23" s="379"/>
    </row>
    <row r="24" spans="1:8" x14ac:dyDescent="0.2">
      <c r="A24" s="354" t="s">
        <v>58</v>
      </c>
      <c r="B24" s="355"/>
      <c r="C24" s="356"/>
      <c r="D24" s="179" t="s">
        <v>2</v>
      </c>
      <c r="E24" s="357" t="s">
        <v>3</v>
      </c>
      <c r="F24" s="179" t="s">
        <v>9</v>
      </c>
      <c r="G24" s="211" t="s">
        <v>10</v>
      </c>
      <c r="H24" s="133"/>
    </row>
    <row r="25" spans="1:8" x14ac:dyDescent="0.2">
      <c r="A25" s="173" t="s">
        <v>202</v>
      </c>
      <c r="B25" s="380"/>
      <c r="C25" s="130" t="s">
        <v>12</v>
      </c>
      <c r="D25" s="381">
        <v>1</v>
      </c>
      <c r="E25" s="382">
        <v>1</v>
      </c>
      <c r="F25" s="383">
        <f t="shared" ref="F25:F33" si="0">B25*D25</f>
        <v>0</v>
      </c>
      <c r="G25" s="384">
        <f t="shared" ref="G25:G31" si="1">B25*E25</f>
        <v>0</v>
      </c>
      <c r="H25" s="133"/>
    </row>
    <row r="26" spans="1:8" x14ac:dyDescent="0.2">
      <c r="A26" s="173" t="s">
        <v>208</v>
      </c>
      <c r="B26" s="199">
        <f>Mengengerüst!B158+'Gerüst CA'!B185</f>
        <v>11</v>
      </c>
      <c r="C26" s="130" t="s">
        <v>12</v>
      </c>
      <c r="D26" s="385">
        <v>1</v>
      </c>
      <c r="E26" s="382">
        <v>1</v>
      </c>
      <c r="F26" s="383">
        <f t="shared" si="0"/>
        <v>11</v>
      </c>
      <c r="G26" s="384">
        <f t="shared" si="1"/>
        <v>11</v>
      </c>
      <c r="H26" s="133"/>
    </row>
    <row r="27" spans="1:8" x14ac:dyDescent="0.2">
      <c r="A27" s="173" t="str">
        <f>Mengengerüst!A157</f>
        <v>Drucktaster automatische Umfahrung</v>
      </c>
      <c r="B27" s="199">
        <f>Mengengerüst!B157/4</f>
        <v>0</v>
      </c>
      <c r="C27" s="439" t="s">
        <v>12</v>
      </c>
      <c r="D27" s="385">
        <v>1</v>
      </c>
      <c r="E27" s="382">
        <v>1</v>
      </c>
      <c r="F27" s="383">
        <f t="shared" ref="F27" si="2">B27*D27</f>
        <v>0</v>
      </c>
      <c r="G27" s="384">
        <f t="shared" ref="G27" si="3">B27*E27</f>
        <v>0</v>
      </c>
      <c r="H27" s="133"/>
    </row>
    <row r="28" spans="1:8" x14ac:dyDescent="0.2">
      <c r="A28" s="173" t="s">
        <v>247</v>
      </c>
      <c r="B28" s="199">
        <f>Mengengerüst!B14</f>
        <v>0</v>
      </c>
      <c r="C28" s="130" t="s">
        <v>12</v>
      </c>
      <c r="D28" s="385">
        <v>5</v>
      </c>
      <c r="E28" s="382">
        <v>1</v>
      </c>
      <c r="F28" s="383">
        <f t="shared" si="0"/>
        <v>0</v>
      </c>
      <c r="G28" s="384">
        <f t="shared" si="1"/>
        <v>0</v>
      </c>
      <c r="H28" s="133"/>
    </row>
    <row r="29" spans="1:8" x14ac:dyDescent="0.2">
      <c r="A29" s="173" t="s">
        <v>292</v>
      </c>
      <c r="B29" s="199">
        <f>Mengengerüst!B159</f>
        <v>3</v>
      </c>
      <c r="C29" s="130" t="s">
        <v>12</v>
      </c>
      <c r="D29" s="385">
        <v>2</v>
      </c>
      <c r="E29" s="382">
        <v>2</v>
      </c>
      <c r="F29" s="383">
        <f t="shared" si="0"/>
        <v>6</v>
      </c>
      <c r="G29" s="384">
        <f t="shared" si="1"/>
        <v>6</v>
      </c>
      <c r="H29" s="133"/>
    </row>
    <row r="30" spans="1:8" x14ac:dyDescent="0.2">
      <c r="A30" s="173" t="s">
        <v>38</v>
      </c>
      <c r="B30" s="123">
        <v>0</v>
      </c>
      <c r="C30" s="130" t="s">
        <v>12</v>
      </c>
      <c r="D30" s="385">
        <v>3</v>
      </c>
      <c r="E30" s="382">
        <v>3</v>
      </c>
      <c r="F30" s="383">
        <f t="shared" si="0"/>
        <v>0</v>
      </c>
      <c r="G30" s="384">
        <f t="shared" si="1"/>
        <v>0</v>
      </c>
      <c r="H30" s="133"/>
    </row>
    <row r="31" spans="1:8" x14ac:dyDescent="0.2">
      <c r="A31" s="173" t="s">
        <v>32</v>
      </c>
      <c r="B31" s="123">
        <v>0</v>
      </c>
      <c r="C31" s="130" t="s">
        <v>12</v>
      </c>
      <c r="D31" s="385">
        <v>4</v>
      </c>
      <c r="E31" s="382">
        <v>4</v>
      </c>
      <c r="F31" s="383">
        <f t="shared" si="0"/>
        <v>0</v>
      </c>
      <c r="G31" s="384">
        <f t="shared" si="1"/>
        <v>0</v>
      </c>
      <c r="H31" s="133"/>
    </row>
    <row r="32" spans="1:8" x14ac:dyDescent="0.2">
      <c r="A32" s="386" t="s">
        <v>37</v>
      </c>
      <c r="B32" s="124">
        <v>1</v>
      </c>
      <c r="C32" s="387" t="s">
        <v>12</v>
      </c>
      <c r="D32" s="385">
        <v>6</v>
      </c>
      <c r="E32" s="382">
        <v>6</v>
      </c>
      <c r="F32" s="383">
        <f t="shared" si="0"/>
        <v>6</v>
      </c>
      <c r="G32" s="384">
        <f t="shared" ref="G32" si="4">+B32*E32</f>
        <v>6</v>
      </c>
      <c r="H32" s="133"/>
    </row>
    <row r="33" spans="1:9" x14ac:dyDescent="0.2">
      <c r="A33" s="362" t="s">
        <v>289</v>
      </c>
      <c r="B33" s="199">
        <f>HW!B171</f>
        <v>0</v>
      </c>
      <c r="C33" s="128" t="s">
        <v>12</v>
      </c>
      <c r="D33" s="388">
        <v>7</v>
      </c>
      <c r="E33" s="382">
        <v>6</v>
      </c>
      <c r="F33" s="383">
        <f t="shared" si="0"/>
        <v>0</v>
      </c>
      <c r="G33" s="384">
        <f t="shared" ref="G33" si="5">+B33*E33</f>
        <v>0</v>
      </c>
      <c r="H33" s="133"/>
    </row>
    <row r="34" spans="1:9" ht="13.5" thickBot="1" x14ac:dyDescent="0.25">
      <c r="A34" s="389" t="s">
        <v>69</v>
      </c>
      <c r="B34" s="372" t="s">
        <v>0</v>
      </c>
      <c r="C34" s="373" t="s">
        <v>0</v>
      </c>
      <c r="D34" s="390" t="s">
        <v>0</v>
      </c>
      <c r="E34" s="374" t="s">
        <v>0</v>
      </c>
      <c r="F34" s="391">
        <f>SUM(F25:F33)</f>
        <v>23</v>
      </c>
      <c r="G34" s="392">
        <f>SUM(G25:G33)</f>
        <v>23</v>
      </c>
      <c r="H34" s="133"/>
    </row>
    <row r="35" spans="1:9" ht="13.5" thickBot="1" x14ac:dyDescent="0.25">
      <c r="C35" s="377"/>
      <c r="D35" s="378"/>
      <c r="E35" s="378"/>
      <c r="H35" s="379"/>
    </row>
    <row r="36" spans="1:9" x14ac:dyDescent="0.2">
      <c r="A36" s="393" t="s">
        <v>5</v>
      </c>
      <c r="B36" s="898" t="s">
        <v>6</v>
      </c>
      <c r="C36" s="899"/>
      <c r="D36" s="179" t="s">
        <v>7</v>
      </c>
      <c r="E36" s="179" t="s">
        <v>8</v>
      </c>
      <c r="F36" s="179" t="s">
        <v>9</v>
      </c>
      <c r="G36" s="211" t="s">
        <v>10</v>
      </c>
      <c r="H36" s="133"/>
    </row>
    <row r="37" spans="1:9" x14ac:dyDescent="0.2">
      <c r="A37" s="173" t="s">
        <v>122</v>
      </c>
      <c r="B37" s="199">
        <f>Mengengerüst!B153+Mengengerüst!B155+'Gerüst CA'!B183</f>
        <v>24</v>
      </c>
      <c r="C37" s="394" t="s">
        <v>12</v>
      </c>
      <c r="D37" s="258">
        <v>1</v>
      </c>
      <c r="E37" s="258">
        <v>0</v>
      </c>
      <c r="F37" s="395">
        <f>B37+H37*D37</f>
        <v>24</v>
      </c>
      <c r="G37" s="384">
        <f>B37*E37</f>
        <v>0</v>
      </c>
      <c r="H37" s="133"/>
    </row>
    <row r="38" spans="1:9" x14ac:dyDescent="0.2">
      <c r="A38" s="173" t="s">
        <v>131</v>
      </c>
      <c r="B38" s="199">
        <f>Mengengerüst!B12</f>
        <v>0</v>
      </c>
      <c r="C38" s="394" t="s">
        <v>12</v>
      </c>
      <c r="D38" s="258">
        <v>1</v>
      </c>
      <c r="E38" s="258">
        <v>0</v>
      </c>
      <c r="F38" s="383">
        <f>B38*D38</f>
        <v>0</v>
      </c>
      <c r="G38" s="384">
        <f>B38*E38</f>
        <v>0</v>
      </c>
      <c r="H38" s="133"/>
    </row>
    <row r="39" spans="1:9" x14ac:dyDescent="0.2">
      <c r="A39" s="173" t="s">
        <v>313</v>
      </c>
      <c r="B39" s="383">
        <f>(Mengengerüst!B154+'Gerüst CA'!B184)</f>
        <v>2</v>
      </c>
      <c r="C39" s="394" t="s">
        <v>12</v>
      </c>
      <c r="D39" s="258">
        <v>1</v>
      </c>
      <c r="E39" s="258">
        <v>0</v>
      </c>
      <c r="F39" s="383">
        <f>B39*D39</f>
        <v>2</v>
      </c>
      <c r="G39" s="384">
        <f>B39*E39</f>
        <v>0</v>
      </c>
      <c r="H39" s="133"/>
      <c r="I39" s="396"/>
    </row>
    <row r="40" spans="1:9" x14ac:dyDescent="0.2">
      <c r="A40" s="397" t="s">
        <v>103</v>
      </c>
      <c r="B40" s="398">
        <f>Mengengerüst!B156</f>
        <v>0</v>
      </c>
      <c r="C40" s="399" t="s">
        <v>12</v>
      </c>
      <c r="D40" s="388">
        <v>1</v>
      </c>
      <c r="E40" s="388">
        <v>0</v>
      </c>
      <c r="F40" s="400">
        <f>B40*D40</f>
        <v>0</v>
      </c>
      <c r="G40" s="401">
        <f>B40*E40</f>
        <v>0</v>
      </c>
      <c r="H40" s="133"/>
    </row>
    <row r="41" spans="1:9" x14ac:dyDescent="0.2">
      <c r="A41" s="402"/>
      <c r="B41" s="133"/>
      <c r="C41" s="132"/>
      <c r="D41" s="132"/>
      <c r="E41" s="132"/>
      <c r="F41" s="132"/>
      <c r="G41" s="361"/>
      <c r="H41" s="133"/>
    </row>
    <row r="42" spans="1:9" x14ac:dyDescent="0.2">
      <c r="A42" s="173" t="s">
        <v>31</v>
      </c>
      <c r="B42" s="720">
        <f>Mengengerüst!B163+'Gerüst CA'!B189</f>
        <v>17</v>
      </c>
      <c r="C42" s="394" t="s">
        <v>12</v>
      </c>
      <c r="D42" s="258">
        <v>0</v>
      </c>
      <c r="E42" s="258">
        <v>1</v>
      </c>
      <c r="F42" s="383">
        <f t="shared" ref="F42:F50" si="6">B42*D42</f>
        <v>0</v>
      </c>
      <c r="G42" s="403">
        <f>B42*E42</f>
        <v>17</v>
      </c>
      <c r="H42" s="133"/>
    </row>
    <row r="43" spans="1:9" x14ac:dyDescent="0.2">
      <c r="A43" s="173" t="s">
        <v>220</v>
      </c>
      <c r="B43" s="199">
        <f>Mengengerüst!B170</f>
        <v>0</v>
      </c>
      <c r="C43" s="394" t="s">
        <v>12</v>
      </c>
      <c r="D43" s="258">
        <v>0</v>
      </c>
      <c r="E43" s="258">
        <v>2</v>
      </c>
      <c r="F43" s="383">
        <f t="shared" si="6"/>
        <v>0</v>
      </c>
      <c r="G43" s="384">
        <f t="shared" ref="G43:G50" si="7">B43*E43</f>
        <v>0</v>
      </c>
      <c r="H43" s="133"/>
    </row>
    <row r="44" spans="1:9" x14ac:dyDescent="0.2">
      <c r="A44" s="173" t="s">
        <v>98</v>
      </c>
      <c r="B44" s="123">
        <v>0</v>
      </c>
      <c r="C44" s="394" t="s">
        <v>12</v>
      </c>
      <c r="D44" s="258">
        <v>0</v>
      </c>
      <c r="E44" s="258">
        <v>1</v>
      </c>
      <c r="F44" s="383">
        <f t="shared" si="6"/>
        <v>0</v>
      </c>
      <c r="G44" s="384">
        <f t="shared" si="7"/>
        <v>0</v>
      </c>
      <c r="H44" s="133"/>
    </row>
    <row r="45" spans="1:9" x14ac:dyDescent="0.2">
      <c r="A45" s="173" t="s">
        <v>401</v>
      </c>
      <c r="B45" s="636">
        <f>Mengengerüst!B164</f>
        <v>0</v>
      </c>
      <c r="C45" s="394" t="s">
        <v>12</v>
      </c>
      <c r="D45" s="258">
        <v>0</v>
      </c>
      <c r="E45" s="258">
        <v>2</v>
      </c>
      <c r="F45" s="383">
        <f t="shared" si="6"/>
        <v>0</v>
      </c>
      <c r="G45" s="384">
        <f t="shared" si="7"/>
        <v>0</v>
      </c>
      <c r="H45" s="133"/>
    </row>
    <row r="46" spans="1:9" x14ac:dyDescent="0.2">
      <c r="A46" s="173" t="s">
        <v>200</v>
      </c>
      <c r="B46" s="199">
        <f>Mengengerüst!B118</f>
        <v>0</v>
      </c>
      <c r="C46" s="394" t="s">
        <v>12</v>
      </c>
      <c r="D46" s="258">
        <v>0</v>
      </c>
      <c r="E46" s="258">
        <v>10</v>
      </c>
      <c r="F46" s="383">
        <f t="shared" si="6"/>
        <v>0</v>
      </c>
      <c r="G46" s="384">
        <f t="shared" si="7"/>
        <v>0</v>
      </c>
      <c r="H46" s="133"/>
    </row>
    <row r="47" spans="1:9" x14ac:dyDescent="0.2">
      <c r="A47" s="173" t="s">
        <v>87</v>
      </c>
      <c r="B47" s="199">
        <f>Mengengerüst!B166</f>
        <v>0</v>
      </c>
      <c r="C47" s="394" t="s">
        <v>12</v>
      </c>
      <c r="D47" s="258">
        <v>0</v>
      </c>
      <c r="E47" s="258">
        <v>1</v>
      </c>
      <c r="F47" s="383">
        <f t="shared" si="6"/>
        <v>0</v>
      </c>
      <c r="G47" s="384">
        <f t="shared" si="7"/>
        <v>0</v>
      </c>
      <c r="H47" s="133"/>
    </row>
    <row r="48" spans="1:9" x14ac:dyDescent="0.2">
      <c r="A48" s="173" t="s">
        <v>99</v>
      </c>
      <c r="B48" s="383">
        <f>B60+B64+B65</f>
        <v>1</v>
      </c>
      <c r="C48" s="394" t="s">
        <v>12</v>
      </c>
      <c r="D48" s="258">
        <v>0</v>
      </c>
      <c r="E48" s="258">
        <v>1</v>
      </c>
      <c r="F48" s="383">
        <f t="shared" si="6"/>
        <v>0</v>
      </c>
      <c r="G48" s="384">
        <f t="shared" si="7"/>
        <v>1</v>
      </c>
      <c r="H48" s="133"/>
    </row>
    <row r="49" spans="1:8" x14ac:dyDescent="0.2">
      <c r="A49" s="173" t="s">
        <v>100</v>
      </c>
      <c r="B49" s="383">
        <f>B68+B69</f>
        <v>3</v>
      </c>
      <c r="C49" s="394" t="s">
        <v>12</v>
      </c>
      <c r="D49" s="258">
        <v>0</v>
      </c>
      <c r="E49" s="258">
        <v>2</v>
      </c>
      <c r="F49" s="383">
        <f t="shared" si="6"/>
        <v>0</v>
      </c>
      <c r="G49" s="384">
        <f t="shared" si="7"/>
        <v>6</v>
      </c>
      <c r="H49" s="133"/>
    </row>
    <row r="50" spans="1:8" x14ac:dyDescent="0.2">
      <c r="A50" s="173" t="s">
        <v>101</v>
      </c>
      <c r="B50" s="199">
        <f>Mengengerüst!B169+'Gerüst CA'!B191</f>
        <v>3</v>
      </c>
      <c r="C50" s="394" t="s">
        <v>12</v>
      </c>
      <c r="D50" s="258">
        <v>0</v>
      </c>
      <c r="E50" s="258">
        <v>1</v>
      </c>
      <c r="F50" s="383">
        <f t="shared" si="6"/>
        <v>0</v>
      </c>
      <c r="G50" s="384">
        <f t="shared" si="7"/>
        <v>3</v>
      </c>
      <c r="H50" s="133"/>
    </row>
    <row r="51" spans="1:8" x14ac:dyDescent="0.2">
      <c r="A51" s="404"/>
      <c r="B51" s="133"/>
      <c r="C51" s="405"/>
      <c r="D51" s="133"/>
      <c r="E51" s="133"/>
      <c r="F51" s="133"/>
      <c r="G51" s="406"/>
      <c r="H51" s="133"/>
    </row>
    <row r="52" spans="1:8" x14ac:dyDescent="0.2">
      <c r="A52" s="173" t="s">
        <v>290</v>
      </c>
      <c r="B52" s="199">
        <f>Mengengerüst!B53+Mengengerüst!$B$89+Mengengerüst!$B$96</f>
        <v>1</v>
      </c>
      <c r="C52" s="394" t="s">
        <v>12</v>
      </c>
      <c r="D52" s="258">
        <v>2</v>
      </c>
      <c r="E52" s="258">
        <v>2</v>
      </c>
      <c r="F52" s="383">
        <f>B52*D52</f>
        <v>2</v>
      </c>
      <c r="G52" s="384">
        <f>B52*E52</f>
        <v>2</v>
      </c>
      <c r="H52" s="133"/>
    </row>
    <row r="53" spans="1:8" x14ac:dyDescent="0.2">
      <c r="A53" s="173" t="s">
        <v>291</v>
      </c>
      <c r="B53" s="199"/>
      <c r="C53" s="394" t="s">
        <v>12</v>
      </c>
      <c r="D53" s="258">
        <v>2</v>
      </c>
      <c r="E53" s="258">
        <v>2</v>
      </c>
      <c r="F53" s="383">
        <f>B53*D53</f>
        <v>0</v>
      </c>
      <c r="G53" s="384">
        <f>B53*E53</f>
        <v>0</v>
      </c>
      <c r="H53" s="133"/>
    </row>
    <row r="54" spans="1:8" x14ac:dyDescent="0.2">
      <c r="A54" s="173" t="s">
        <v>209</v>
      </c>
      <c r="B54" s="199">
        <f>Mengengerüst!B79</f>
        <v>0</v>
      </c>
      <c r="C54" s="394" t="s">
        <v>12</v>
      </c>
      <c r="D54" s="258">
        <v>4</v>
      </c>
      <c r="E54" s="258">
        <v>4</v>
      </c>
      <c r="F54" s="383">
        <f>B54*D54</f>
        <v>0</v>
      </c>
      <c r="G54" s="384">
        <f>B54*E54</f>
        <v>0</v>
      </c>
      <c r="H54" s="133"/>
    </row>
    <row r="55" spans="1:8" x14ac:dyDescent="0.2">
      <c r="A55" s="173" t="s">
        <v>245</v>
      </c>
      <c r="B55" s="199">
        <f>Mengengerüst!B41+Mengengerüst!B67+Mengengerüst!B86+Mengengerüst!B106+Mengengerüst!B133</f>
        <v>4</v>
      </c>
      <c r="C55" s="394" t="s">
        <v>12</v>
      </c>
      <c r="D55" s="258">
        <v>2</v>
      </c>
      <c r="E55" s="258">
        <v>1</v>
      </c>
      <c r="F55" s="383">
        <f>B55*D55</f>
        <v>8</v>
      </c>
      <c r="G55" s="384">
        <f>B55*E55</f>
        <v>4</v>
      </c>
      <c r="H55" s="133"/>
    </row>
    <row r="56" spans="1:8" x14ac:dyDescent="0.2">
      <c r="A56" s="404"/>
      <c r="B56" s="133"/>
      <c r="C56" s="405"/>
      <c r="D56" s="133"/>
      <c r="E56" s="133"/>
      <c r="F56" s="133"/>
      <c r="G56" s="406"/>
      <c r="H56" s="133"/>
    </row>
    <row r="57" spans="1:8" x14ac:dyDescent="0.2">
      <c r="A57" s="173" t="s">
        <v>134</v>
      </c>
      <c r="B57" s="123">
        <v>0</v>
      </c>
      <c r="C57" s="394" t="s">
        <v>12</v>
      </c>
      <c r="D57" s="258">
        <v>40</v>
      </c>
      <c r="E57" s="258">
        <v>20</v>
      </c>
      <c r="F57" s="383">
        <f>B57*D57</f>
        <v>0</v>
      </c>
      <c r="G57" s="384">
        <f>B57*E57</f>
        <v>0</v>
      </c>
      <c r="H57" s="133"/>
    </row>
    <row r="58" spans="1:8" x14ac:dyDescent="0.2">
      <c r="A58" s="402"/>
      <c r="B58" s="133"/>
      <c r="C58" s="132"/>
      <c r="D58" s="132"/>
      <c r="E58" s="132"/>
      <c r="F58" s="132"/>
      <c r="G58" s="361"/>
      <c r="H58" s="133"/>
    </row>
    <row r="59" spans="1:8" x14ac:dyDescent="0.2">
      <c r="A59" s="173" t="s">
        <v>90</v>
      </c>
      <c r="B59" s="199">
        <f>Mengengerüst!B172+'Gerüst CA'!B192</f>
        <v>0</v>
      </c>
      <c r="C59" s="394" t="s">
        <v>12</v>
      </c>
      <c r="D59" s="258">
        <v>0</v>
      </c>
      <c r="E59" s="258">
        <v>1</v>
      </c>
      <c r="F59" s="383">
        <f t="shared" ref="F59:F71" si="8">B59*D59</f>
        <v>0</v>
      </c>
      <c r="G59" s="384">
        <f t="shared" ref="G59:G71" si="9">B59*E59</f>
        <v>0</v>
      </c>
      <c r="H59" s="407"/>
    </row>
    <row r="60" spans="1:8" x14ac:dyDescent="0.2">
      <c r="A60" s="397" t="s">
        <v>93</v>
      </c>
      <c r="B60" s="199">
        <f>Mengengerüst!B173+'Gerüst CA'!B193</f>
        <v>1</v>
      </c>
      <c r="C60" s="394" t="s">
        <v>12</v>
      </c>
      <c r="D60" s="258">
        <v>0</v>
      </c>
      <c r="E60" s="258">
        <v>1</v>
      </c>
      <c r="F60" s="383">
        <f t="shared" si="8"/>
        <v>0</v>
      </c>
      <c r="G60" s="384">
        <f t="shared" si="9"/>
        <v>1</v>
      </c>
    </row>
    <row r="61" spans="1:8" x14ac:dyDescent="0.2">
      <c r="A61" s="397" t="s">
        <v>92</v>
      </c>
      <c r="B61" s="123">
        <v>0</v>
      </c>
      <c r="C61" s="394" t="s">
        <v>12</v>
      </c>
      <c r="D61" s="258">
        <v>0</v>
      </c>
      <c r="E61" s="258">
        <v>1</v>
      </c>
      <c r="F61" s="383">
        <f t="shared" si="8"/>
        <v>0</v>
      </c>
      <c r="G61" s="384">
        <f t="shared" si="9"/>
        <v>0</v>
      </c>
    </row>
    <row r="62" spans="1:8" x14ac:dyDescent="0.2">
      <c r="A62" s="173" t="s">
        <v>199</v>
      </c>
      <c r="B62" s="199">
        <f>Mengengerüst!B174+'Gerüst CA'!B194</f>
        <v>0</v>
      </c>
      <c r="C62" s="394" t="s">
        <v>12</v>
      </c>
      <c r="D62" s="258">
        <v>0</v>
      </c>
      <c r="E62" s="258">
        <v>0</v>
      </c>
      <c r="F62" s="383">
        <f t="shared" si="8"/>
        <v>0</v>
      </c>
      <c r="G62" s="384">
        <f t="shared" si="9"/>
        <v>0</v>
      </c>
    </row>
    <row r="63" spans="1:8" x14ac:dyDescent="0.2">
      <c r="A63" s="397" t="s">
        <v>91</v>
      </c>
      <c r="B63" s="199">
        <f>Mengengerüst!B175</f>
        <v>14</v>
      </c>
      <c r="C63" s="394" t="s">
        <v>12</v>
      </c>
      <c r="D63" s="258">
        <v>0</v>
      </c>
      <c r="E63" s="258">
        <v>2</v>
      </c>
      <c r="F63" s="383">
        <f t="shared" si="8"/>
        <v>0</v>
      </c>
      <c r="G63" s="403">
        <f>B63*E63</f>
        <v>28</v>
      </c>
    </row>
    <row r="64" spans="1:8" x14ac:dyDescent="0.2">
      <c r="A64" s="173" t="s">
        <v>95</v>
      </c>
      <c r="B64" s="408">
        <f>Mengengerüst!B177</f>
        <v>0</v>
      </c>
      <c r="C64" s="394" t="s">
        <v>12</v>
      </c>
      <c r="D64" s="381">
        <v>0</v>
      </c>
      <c r="E64" s="381">
        <v>2</v>
      </c>
      <c r="F64" s="383">
        <f t="shared" si="8"/>
        <v>0</v>
      </c>
      <c r="G64" s="384">
        <f t="shared" si="9"/>
        <v>0</v>
      </c>
    </row>
    <row r="65" spans="1:10" x14ac:dyDescent="0.2">
      <c r="A65" s="173" t="s">
        <v>97</v>
      </c>
      <c r="B65" s="124">
        <v>0</v>
      </c>
      <c r="C65" s="394" t="s">
        <v>12</v>
      </c>
      <c r="D65" s="381">
        <v>0</v>
      </c>
      <c r="E65" s="381">
        <v>1</v>
      </c>
      <c r="F65" s="383">
        <f t="shared" si="8"/>
        <v>0</v>
      </c>
      <c r="G65" s="384">
        <f t="shared" si="9"/>
        <v>0</v>
      </c>
    </row>
    <row r="66" spans="1:10" x14ac:dyDescent="0.2">
      <c r="A66" s="397" t="s">
        <v>135</v>
      </c>
      <c r="B66" s="408">
        <f>Mengengerüst!B176</f>
        <v>1</v>
      </c>
      <c r="C66" s="394" t="s">
        <v>12</v>
      </c>
      <c r="D66" s="381">
        <v>0</v>
      </c>
      <c r="E66" s="381">
        <v>0</v>
      </c>
      <c r="F66" s="383">
        <f t="shared" si="8"/>
        <v>0</v>
      </c>
      <c r="G66" s="384">
        <f t="shared" si="9"/>
        <v>0</v>
      </c>
      <c r="H66" s="407">
        <f>SUM(B59:B68)</f>
        <v>19</v>
      </c>
    </row>
    <row r="67" spans="1:10" s="417" customFormat="1" ht="38.25" x14ac:dyDescent="0.2">
      <c r="A67" s="409" t="s">
        <v>204</v>
      </c>
      <c r="B67" s="410">
        <v>0</v>
      </c>
      <c r="C67" s="411" t="s">
        <v>12</v>
      </c>
      <c r="D67" s="410">
        <v>0</v>
      </c>
      <c r="E67" s="410">
        <v>1</v>
      </c>
      <c r="F67" s="412">
        <f t="shared" si="8"/>
        <v>0</v>
      </c>
      <c r="G67" s="413">
        <f t="shared" si="9"/>
        <v>0</v>
      </c>
      <c r="H67" s="414">
        <v>0</v>
      </c>
      <c r="I67" s="415"/>
      <c r="J67" s="416"/>
    </row>
    <row r="68" spans="1:10" x14ac:dyDescent="0.2">
      <c r="A68" s="173" t="s">
        <v>96</v>
      </c>
      <c r="B68" s="408">
        <f>Mengengerüst!B178</f>
        <v>3</v>
      </c>
      <c r="C68" s="394" t="s">
        <v>12</v>
      </c>
      <c r="D68" s="381">
        <v>0</v>
      </c>
      <c r="E68" s="381">
        <v>2</v>
      </c>
      <c r="F68" s="383">
        <f t="shared" si="8"/>
        <v>0</v>
      </c>
      <c r="G68" s="384">
        <f t="shared" si="9"/>
        <v>6</v>
      </c>
      <c r="I68" s="418"/>
    </row>
    <row r="69" spans="1:10" x14ac:dyDescent="0.2">
      <c r="A69" s="173" t="s">
        <v>94</v>
      </c>
      <c r="B69" s="124">
        <v>0</v>
      </c>
      <c r="C69" s="394" t="s">
        <v>12</v>
      </c>
      <c r="D69" s="381">
        <v>0</v>
      </c>
      <c r="E69" s="381">
        <v>1</v>
      </c>
      <c r="F69" s="383">
        <f t="shared" si="8"/>
        <v>0</v>
      </c>
      <c r="G69" s="384">
        <f t="shared" si="9"/>
        <v>0</v>
      </c>
    </row>
    <row r="70" spans="1:10" x14ac:dyDescent="0.2">
      <c r="A70" s="173" t="s">
        <v>36</v>
      </c>
      <c r="B70" s="555">
        <f>HW!B74*4</f>
        <v>0</v>
      </c>
      <c r="C70" s="394" t="s">
        <v>12</v>
      </c>
      <c r="D70" s="381">
        <v>0</v>
      </c>
      <c r="E70" s="381">
        <v>2</v>
      </c>
      <c r="F70" s="383">
        <f t="shared" si="8"/>
        <v>0</v>
      </c>
      <c r="G70" s="384">
        <f t="shared" si="9"/>
        <v>0</v>
      </c>
    </row>
    <row r="71" spans="1:10" ht="13.5" thickBot="1" x14ac:dyDescent="0.25">
      <c r="A71" s="419" t="s">
        <v>235</v>
      </c>
      <c r="B71" s="446">
        <v>0</v>
      </c>
      <c r="C71" s="420" t="s">
        <v>12</v>
      </c>
      <c r="D71" s="241">
        <v>1</v>
      </c>
      <c r="E71" s="241">
        <v>3</v>
      </c>
      <c r="F71" s="421">
        <f t="shared" si="8"/>
        <v>0</v>
      </c>
      <c r="G71" s="422">
        <f t="shared" si="9"/>
        <v>0</v>
      </c>
    </row>
    <row r="72" spans="1:10" x14ac:dyDescent="0.2">
      <c r="A72" s="423" t="s">
        <v>74</v>
      </c>
      <c r="B72" s="424"/>
      <c r="C72" s="425"/>
      <c r="D72" s="424"/>
      <c r="E72" s="426" t="s">
        <v>0</v>
      </c>
      <c r="F72" s="427">
        <f>SUM(F37:F71)</f>
        <v>36</v>
      </c>
      <c r="G72" s="428">
        <f>SUM(G37:G71)</f>
        <v>68</v>
      </c>
    </row>
    <row r="73" spans="1:10" ht="15.75" x14ac:dyDescent="0.25">
      <c r="A73" s="429" t="s">
        <v>388</v>
      </c>
      <c r="B73" s="430"/>
      <c r="C73" s="431"/>
      <c r="D73" s="542"/>
      <c r="E73" s="542">
        <v>0.05</v>
      </c>
      <c r="F73" s="432">
        <f>(F22+F34+F72)*(1+E73)</f>
        <v>87.15</v>
      </c>
      <c r="G73" s="433">
        <f>(G22+G34+G72)*(1+E73)</f>
        <v>112.35000000000001</v>
      </c>
    </row>
    <row r="74" spans="1:10" ht="15.75" x14ac:dyDescent="0.25">
      <c r="A74" s="434"/>
      <c r="B74" s="435"/>
      <c r="C74" s="436"/>
      <c r="D74" s="437"/>
      <c r="E74" s="436"/>
      <c r="F74" s="438"/>
      <c r="G74" s="438"/>
    </row>
    <row r="75" spans="1:10" x14ac:dyDescent="0.2">
      <c r="A75" s="279" t="s">
        <v>130</v>
      </c>
    </row>
    <row r="76" spans="1:10" x14ac:dyDescent="0.2">
      <c r="A76" s="439" t="s">
        <v>141</v>
      </c>
      <c r="B76" s="296"/>
      <c r="C76" s="309"/>
      <c r="D76" s="309"/>
      <c r="E76" s="297"/>
      <c r="F76" s="383">
        <f>ROUNDUP(F73/32,0)</f>
        <v>3</v>
      </c>
      <c r="G76" s="383">
        <f>ROUNDUP(G73/32,0)</f>
        <v>4</v>
      </c>
    </row>
    <row r="78" spans="1:10" x14ac:dyDescent="0.2">
      <c r="A78" s="279" t="s">
        <v>126</v>
      </c>
    </row>
    <row r="79" spans="1:10" x14ac:dyDescent="0.2">
      <c r="A79" s="130" t="s">
        <v>137</v>
      </c>
      <c r="B79" s="296"/>
      <c r="C79" s="309"/>
      <c r="D79" s="309"/>
      <c r="E79" s="297"/>
      <c r="F79" s="199">
        <f>HW!B118+HW!B116</f>
        <v>0</v>
      </c>
      <c r="G79" s="199">
        <f>HW!B119+HW!B117</f>
        <v>0</v>
      </c>
    </row>
    <row r="80" spans="1:10" x14ac:dyDescent="0.2">
      <c r="A80" s="130" t="s">
        <v>127</v>
      </c>
      <c r="B80" s="296"/>
      <c r="C80" s="309"/>
      <c r="D80" s="309"/>
      <c r="E80" s="297"/>
      <c r="F80" s="383">
        <f>ROUNDUP((F73-F79*32)/4,0)</f>
        <v>22</v>
      </c>
      <c r="G80" s="383">
        <f>ROUNDUP((F73-G79*32)/4,0)</f>
        <v>22</v>
      </c>
    </row>
    <row r="81" spans="1:7" x14ac:dyDescent="0.2">
      <c r="A81" s="387" t="s">
        <v>128</v>
      </c>
      <c r="B81" s="304"/>
      <c r="C81" s="440"/>
      <c r="D81" s="440"/>
      <c r="E81" s="315"/>
      <c r="F81" s="441">
        <f>ROUNDUP(F80/26,0)</f>
        <v>1</v>
      </c>
      <c r="G81" s="442">
        <f>ROUNDUP(G80/26,0)</f>
        <v>1</v>
      </c>
    </row>
    <row r="82" spans="1:7" x14ac:dyDescent="0.2">
      <c r="A82" s="443" t="s">
        <v>129</v>
      </c>
      <c r="B82" s="290"/>
      <c r="C82" s="290"/>
      <c r="D82" s="291"/>
      <c r="E82" s="311"/>
      <c r="F82" s="444"/>
      <c r="G82" s="444"/>
    </row>
  </sheetData>
  <sheetProtection formatCells="0"/>
  <customSheetViews>
    <customSheetView guid="{3AE3C0CE-F6F6-4222-9052-F72F2FCDEDAE}" showGridLines="0" fitToPage="1" topLeftCell="A19">
      <selection activeCell="A95" sqref="A95"/>
      <pageMargins left="0.78740157480314965" right="0.78740157480314965" top="0.98425196850393704" bottom="0.98425196850393704" header="0.51181102362204722" footer="0.51181102362204722"/>
      <pageSetup paperSize="9" scale="53" orientation="portrait" r:id="rId1"/>
      <headerFooter alignWithMargins="0">
        <oddFooter>&amp;L\Kalkul_a\&amp;F&amp;RSeite &amp;P von &amp;N</oddFooter>
      </headerFooter>
    </customSheetView>
  </customSheetViews>
  <mergeCells count="8">
    <mergeCell ref="J3:M3"/>
    <mergeCell ref="J4:M4"/>
    <mergeCell ref="J5:M5"/>
    <mergeCell ref="B36:C36"/>
    <mergeCell ref="B3:D3"/>
    <mergeCell ref="F3:H3"/>
    <mergeCell ref="B4:D4"/>
    <mergeCell ref="F4:H4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49" orientation="portrait" r:id="rId2"/>
  <headerFooter alignWithMargins="0">
    <oddFooter>&amp;L\Kalkul_a\&amp;F&amp;RSeite &amp;P von &amp;N</oddFooter>
  </headerFooter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K34"/>
  <sheetViews>
    <sheetView showGridLines="0" workbookViewId="0">
      <selection activeCell="E34" sqref="E34"/>
    </sheetView>
  </sheetViews>
  <sheetFormatPr baseColWidth="10" defaultColWidth="11.42578125" defaultRowHeight="12.75" x14ac:dyDescent="0.2"/>
  <cols>
    <col min="1" max="1" width="29.28515625" style="131" customWidth="1"/>
    <col min="2" max="2" width="6" style="271" customWidth="1"/>
    <col min="3" max="3" width="4.7109375" style="131" customWidth="1"/>
    <col min="4" max="4" width="19.28515625" style="131" customWidth="1"/>
    <col min="5" max="5" width="11.85546875" style="451" customWidth="1"/>
    <col min="6" max="6" width="8.7109375" style="131" customWidth="1"/>
    <col min="7" max="7" width="6.7109375" style="131" customWidth="1"/>
    <col min="8" max="8" width="11.28515625" style="271" customWidth="1"/>
    <col min="9" max="9" width="31.5703125" style="271" customWidth="1"/>
    <col min="10" max="10" width="7.7109375" style="271" customWidth="1"/>
    <col min="11" max="11" width="3.42578125" style="131" customWidth="1"/>
    <col min="12" max="16384" width="11.42578125" style="131"/>
  </cols>
  <sheetData>
    <row r="1" spans="1:11" ht="15.75" x14ac:dyDescent="0.25">
      <c r="A1" s="267" t="str">
        <f>+DECKBLATT!A1</f>
        <v>KALKULATION SPINNEREI</v>
      </c>
      <c r="B1" s="268"/>
      <c r="C1" s="269"/>
      <c r="D1" s="269"/>
      <c r="E1" s="269"/>
    </row>
    <row r="2" spans="1:11" ht="15.75" thickBot="1" x14ac:dyDescent="0.25">
      <c r="A2" s="270"/>
      <c r="E2" s="131"/>
    </row>
    <row r="3" spans="1:11" ht="15.75" x14ac:dyDescent="0.25">
      <c r="A3" s="612" t="str">
        <f>DECKBLATT!A3</f>
        <v>Projekt</v>
      </c>
      <c r="B3" s="935" t="str">
        <f>DECKBLATT!D3</f>
        <v>System</v>
      </c>
      <c r="C3" s="935"/>
      <c r="D3" s="613" t="str">
        <f>DECKBLATT!E3</f>
        <v>Datum</v>
      </c>
      <c r="E3" s="935" t="str">
        <f>DECKBLATT!F3</f>
        <v>Ersteller</v>
      </c>
      <c r="F3" s="936"/>
      <c r="G3" s="611"/>
      <c r="H3" s="849" t="str">
        <f>Mengengerüst!$H$2</f>
        <v>In Grau Markierte Fehlder müssen Zahlenwerte
eingetragen werden</v>
      </c>
      <c r="I3" s="849"/>
      <c r="J3" s="849"/>
      <c r="K3" s="849"/>
    </row>
    <row r="4" spans="1:11" ht="31.5" customHeight="1" thickBot="1" x14ac:dyDescent="0.25">
      <c r="A4" s="614" t="str">
        <f>DECKBLATT!A4</f>
        <v>Alpha Yarn Egypt 500537_10_0 FSA
Kein PC und keine Visualisierung. 
Textdisplay mit Störmeldungen ohne Grafik</v>
      </c>
      <c r="B4" s="835" t="str">
        <f>DECKBLATT!D4</f>
        <v>FA</v>
      </c>
      <c r="C4" s="835"/>
      <c r="D4" s="615">
        <f>DECKBLATT!E4</f>
        <v>44628</v>
      </c>
      <c r="E4" s="835" t="str">
        <f>DECKBLATT!F4</f>
        <v>Schellhammer</v>
      </c>
      <c r="F4" s="841"/>
      <c r="H4" s="850" t="str">
        <f>Mengengerüst!$H$3</f>
        <v>Lila Markierte Felder Sonderfelder nur Bedingt ändern.</v>
      </c>
      <c r="I4" s="850"/>
      <c r="J4" s="850"/>
      <c r="K4" s="850"/>
    </row>
    <row r="5" spans="1:11" ht="13.5" thickBot="1" x14ac:dyDescent="0.25">
      <c r="H5" s="853" t="str">
        <f>Mengengerüst!$H$4</f>
        <v>Gelb Markierte Felder nicht ändern (Formeln hinterlegt)</v>
      </c>
      <c r="I5" s="853"/>
      <c r="J5" s="853"/>
      <c r="K5" s="853"/>
    </row>
    <row r="6" spans="1:11" ht="13.5" thickBot="1" x14ac:dyDescent="0.25">
      <c r="A6" s="915" t="s">
        <v>39</v>
      </c>
      <c r="B6" s="916"/>
      <c r="C6" s="916"/>
      <c r="D6" s="916"/>
      <c r="E6" s="566">
        <v>0</v>
      </c>
      <c r="F6" s="562"/>
    </row>
    <row r="7" spans="1:11" ht="13.5" thickBot="1" x14ac:dyDescent="0.25">
      <c r="A7" s="906"/>
      <c r="B7" s="906"/>
      <c r="C7" s="906"/>
      <c r="D7" s="906"/>
      <c r="E7" s="906"/>
      <c r="F7" s="562"/>
    </row>
    <row r="8" spans="1:11" ht="15.75" x14ac:dyDescent="0.2">
      <c r="A8" s="912" t="s">
        <v>40</v>
      </c>
      <c r="B8" s="913"/>
      <c r="C8" s="913"/>
      <c r="D8" s="913"/>
      <c r="E8" s="914"/>
      <c r="F8" s="562"/>
    </row>
    <row r="9" spans="1:11" x14ac:dyDescent="0.2">
      <c r="A9" s="917" t="s">
        <v>363</v>
      </c>
      <c r="B9" s="918"/>
      <c r="C9" s="918"/>
      <c r="D9" s="918"/>
      <c r="E9" s="568">
        <f>HW!$J$83*0.15</f>
        <v>18.599999999999998</v>
      </c>
      <c r="F9" s="562"/>
      <c r="G9" s="450"/>
    </row>
    <row r="10" spans="1:11" x14ac:dyDescent="0.2">
      <c r="A10" s="917" t="s">
        <v>362</v>
      </c>
      <c r="B10" s="918"/>
      <c r="C10" s="918"/>
      <c r="D10" s="918"/>
      <c r="E10" s="568">
        <f>HW!$J$83*0.55</f>
        <v>68.2</v>
      </c>
      <c r="F10" s="562"/>
      <c r="G10" s="450"/>
    </row>
    <row r="11" spans="1:11" x14ac:dyDescent="0.2">
      <c r="A11" s="917" t="s">
        <v>284</v>
      </c>
      <c r="B11" s="918"/>
      <c r="C11" s="918"/>
      <c r="D11" s="918"/>
      <c r="E11" s="568">
        <f>HW!$J$83*0.05</f>
        <v>6.2</v>
      </c>
      <c r="F11" s="562"/>
      <c r="G11" s="450"/>
    </row>
    <row r="12" spans="1:11" x14ac:dyDescent="0.2">
      <c r="A12" s="917" t="s">
        <v>361</v>
      </c>
      <c r="B12" s="918"/>
      <c r="C12" s="918"/>
      <c r="D12" s="918"/>
      <c r="E12" s="568">
        <f>HW!$J$83*0.15</f>
        <v>18.599999999999998</v>
      </c>
      <c r="F12" s="562"/>
      <c r="G12" s="450"/>
    </row>
    <row r="13" spans="1:11" x14ac:dyDescent="0.2">
      <c r="A13" s="919" t="s">
        <v>41</v>
      </c>
      <c r="B13" s="920"/>
      <c r="C13" s="920"/>
      <c r="D13" s="920"/>
      <c r="E13" s="646">
        <f>HW!$J$83*0.05</f>
        <v>6.2</v>
      </c>
      <c r="F13" s="562"/>
      <c r="G13" s="450"/>
    </row>
    <row r="14" spans="1:11" ht="13.5" thickBot="1" x14ac:dyDescent="0.25">
      <c r="A14" s="923" t="s">
        <v>18</v>
      </c>
      <c r="B14" s="924"/>
      <c r="C14" s="924"/>
      <c r="D14" s="924"/>
      <c r="E14" s="647">
        <f>HW!$J$83*0.05</f>
        <v>6.2</v>
      </c>
      <c r="F14" s="645">
        <f>SUM(E9:E14)</f>
        <v>124</v>
      </c>
      <c r="G14" s="450"/>
    </row>
    <row r="15" spans="1:11" ht="13.5" thickBot="1" x14ac:dyDescent="0.25">
      <c r="A15" s="907"/>
      <c r="B15" s="906"/>
      <c r="C15" s="906"/>
      <c r="D15" s="906"/>
      <c r="E15" s="908"/>
      <c r="F15" s="562"/>
      <c r="G15" s="450"/>
    </row>
    <row r="16" spans="1:11" ht="15.75" x14ac:dyDescent="0.2">
      <c r="A16" s="921" t="s">
        <v>42</v>
      </c>
      <c r="B16" s="922"/>
      <c r="C16" s="922"/>
      <c r="D16" s="922"/>
      <c r="E16" s="567"/>
      <c r="F16" s="562"/>
      <c r="G16" s="450"/>
    </row>
    <row r="17" spans="1:7" x14ac:dyDescent="0.2">
      <c r="A17" s="919" t="s">
        <v>43</v>
      </c>
      <c r="B17" s="920"/>
      <c r="C17" s="920"/>
      <c r="D17" s="920"/>
      <c r="E17" s="808">
        <v>0</v>
      </c>
      <c r="F17" s="562"/>
      <c r="G17" s="450"/>
    </row>
    <row r="18" spans="1:7" x14ac:dyDescent="0.2">
      <c r="A18" s="919" t="s">
        <v>44</v>
      </c>
      <c r="B18" s="920"/>
      <c r="C18" s="920"/>
      <c r="D18" s="920"/>
      <c r="E18" s="569">
        <v>0</v>
      </c>
      <c r="F18" s="562"/>
      <c r="G18" s="450"/>
    </row>
    <row r="19" spans="1:7" x14ac:dyDescent="0.2">
      <c r="A19" s="933" t="s">
        <v>113</v>
      </c>
      <c r="B19" s="934"/>
      <c r="C19" s="934"/>
      <c r="D19" s="934"/>
      <c r="E19" s="570">
        <v>0</v>
      </c>
      <c r="F19" s="132"/>
      <c r="G19" s="450"/>
    </row>
    <row r="20" spans="1:7" ht="15" x14ac:dyDescent="0.2">
      <c r="A20" s="909" t="s">
        <v>45</v>
      </c>
      <c r="B20" s="910"/>
      <c r="C20" s="910"/>
      <c r="D20" s="910"/>
      <c r="E20" s="911"/>
      <c r="F20" s="132"/>
      <c r="G20" s="450"/>
    </row>
    <row r="21" spans="1:7" x14ac:dyDescent="0.2">
      <c r="A21" s="919" t="s">
        <v>46</v>
      </c>
      <c r="B21" s="920"/>
      <c r="C21" s="920"/>
      <c r="D21" s="920"/>
      <c r="E21" s="569">
        <v>5</v>
      </c>
      <c r="F21" s="562"/>
      <c r="G21" s="450"/>
    </row>
    <row r="22" spans="1:7" x14ac:dyDescent="0.2">
      <c r="A22" s="919" t="s">
        <v>47</v>
      </c>
      <c r="B22" s="920"/>
      <c r="C22" s="920"/>
      <c r="D22" s="920"/>
      <c r="E22" s="569">
        <v>0</v>
      </c>
      <c r="F22" s="562"/>
    </row>
    <row r="23" spans="1:7" x14ac:dyDescent="0.2">
      <c r="A23" s="919" t="s">
        <v>48</v>
      </c>
      <c r="B23" s="920"/>
      <c r="C23" s="920"/>
      <c r="D23" s="920"/>
      <c r="E23" s="569">
        <v>0</v>
      </c>
      <c r="F23" s="562"/>
      <c r="G23" s="451"/>
    </row>
    <row r="24" spans="1:7" ht="13.5" thickBot="1" x14ac:dyDescent="0.25">
      <c r="A24" s="928" t="s">
        <v>332</v>
      </c>
      <c r="B24" s="929"/>
      <c r="C24" s="929"/>
      <c r="D24" s="929"/>
      <c r="E24" s="571">
        <f>SUM(E6:E23)</f>
        <v>129</v>
      </c>
      <c r="F24" s="563"/>
      <c r="G24" s="451"/>
    </row>
    <row r="25" spans="1:7" ht="13.5" thickBot="1" x14ac:dyDescent="0.25">
      <c r="A25" s="930"/>
      <c r="B25" s="931"/>
      <c r="C25" s="931"/>
      <c r="D25" s="932"/>
      <c r="E25" s="449"/>
      <c r="F25" s="562"/>
      <c r="G25" s="451"/>
    </row>
    <row r="26" spans="1:7" ht="15.75" x14ac:dyDescent="0.2">
      <c r="A26" s="912" t="s">
        <v>49</v>
      </c>
      <c r="B26" s="913"/>
      <c r="C26" s="913"/>
      <c r="D26" s="913"/>
      <c r="E26" s="914"/>
      <c r="F26" s="562"/>
    </row>
    <row r="27" spans="1:7" x14ac:dyDescent="0.2">
      <c r="A27" s="917" t="s">
        <v>329</v>
      </c>
      <c r="B27" s="918"/>
      <c r="C27" s="918"/>
      <c r="D27" s="918"/>
      <c r="E27" s="572">
        <f>HW!M34</f>
        <v>41</v>
      </c>
      <c r="F27" s="564"/>
    </row>
    <row r="28" spans="1:7" x14ac:dyDescent="0.2">
      <c r="A28" s="917" t="s">
        <v>330</v>
      </c>
      <c r="B28" s="918"/>
      <c r="C28" s="918"/>
      <c r="D28" s="918"/>
      <c r="E28" s="572">
        <f>HW!M83</f>
        <v>111.75</v>
      </c>
      <c r="F28" s="564"/>
    </row>
    <row r="29" spans="1:7" x14ac:dyDescent="0.2">
      <c r="A29" s="917" t="s">
        <v>306</v>
      </c>
      <c r="B29" s="918"/>
      <c r="C29" s="918"/>
      <c r="D29" s="918"/>
      <c r="E29" s="572">
        <f>SUM(HW!B170:B171)*2</f>
        <v>0</v>
      </c>
      <c r="F29" s="565"/>
    </row>
    <row r="30" spans="1:7" x14ac:dyDescent="0.2">
      <c r="A30" s="917" t="s">
        <v>331</v>
      </c>
      <c r="B30" s="918"/>
      <c r="C30" s="918"/>
      <c r="D30" s="918"/>
      <c r="E30" s="572">
        <f>HW!M95+HW!M96+HW!M97+HW!M98+HW!M99+HW!M100+HW!M101</f>
        <v>6.833333333333333</v>
      </c>
      <c r="F30" s="564"/>
    </row>
    <row r="31" spans="1:7" x14ac:dyDescent="0.2">
      <c r="A31" s="919" t="s">
        <v>59</v>
      </c>
      <c r="B31" s="920"/>
      <c r="C31" s="920"/>
      <c r="D31" s="920"/>
      <c r="E31" s="573">
        <v>0</v>
      </c>
      <c r="F31" s="564"/>
      <c r="G31" s="451"/>
    </row>
    <row r="32" spans="1:7" ht="13.5" thickBot="1" x14ac:dyDescent="0.25">
      <c r="A32" s="928" t="s">
        <v>333</v>
      </c>
      <c r="B32" s="929"/>
      <c r="C32" s="929"/>
      <c r="D32" s="929"/>
      <c r="E32" s="571">
        <f>SUM(E27:E31)</f>
        <v>159.58333333333334</v>
      </c>
      <c r="F32" s="132"/>
    </row>
    <row r="33" spans="1:10" x14ac:dyDescent="0.2">
      <c r="A33" s="560"/>
      <c r="B33" s="560"/>
      <c r="C33" s="560"/>
      <c r="D33" s="560"/>
      <c r="E33" s="561"/>
      <c r="F33" s="153"/>
    </row>
    <row r="34" spans="1:10" ht="18" x14ac:dyDescent="0.25">
      <c r="A34" s="925" t="s">
        <v>50</v>
      </c>
      <c r="B34" s="926"/>
      <c r="C34" s="926"/>
      <c r="D34" s="927"/>
      <c r="E34" s="574">
        <f>E32+E24</f>
        <v>288.58333333333337</v>
      </c>
      <c r="F34" s="563"/>
      <c r="G34" s="271"/>
      <c r="I34" s="131"/>
      <c r="J34" s="131"/>
    </row>
  </sheetData>
  <sheetProtection formatCells="0"/>
  <customSheetViews>
    <customSheetView guid="{3AE3C0CE-F6F6-4222-9052-F72F2FCDEDAE}" showGridLines="0" fitToPage="1">
      <selection activeCell="G18" sqref="G18"/>
      <pageMargins left="0.78740157499999996" right="0.78740157499999996" top="0.984251969" bottom="0.984251969" header="0.51181102300000003" footer="0.51181102300000003"/>
      <pageSetup paperSize="9" scale="91" orientation="portrait" r:id="rId1"/>
      <headerFooter alignWithMargins="0">
        <oddFooter>&amp;L\Kalkul_a\&amp;F&amp;RSeite &amp;P von &amp;N</oddFooter>
      </headerFooter>
    </customSheetView>
  </customSheetViews>
  <mergeCells count="35">
    <mergeCell ref="E3:F3"/>
    <mergeCell ref="E4:F4"/>
    <mergeCell ref="B3:C3"/>
    <mergeCell ref="B4:C4"/>
    <mergeCell ref="H3:K3"/>
    <mergeCell ref="H4:K4"/>
    <mergeCell ref="A26:E26"/>
    <mergeCell ref="A11:D11"/>
    <mergeCell ref="A34:D34"/>
    <mergeCell ref="A32:D32"/>
    <mergeCell ref="A31:D31"/>
    <mergeCell ref="A30:D30"/>
    <mergeCell ref="A29:D29"/>
    <mergeCell ref="A28:D28"/>
    <mergeCell ref="A27:D27"/>
    <mergeCell ref="A25:D25"/>
    <mergeCell ref="A24:D24"/>
    <mergeCell ref="A23:D23"/>
    <mergeCell ref="A22:D22"/>
    <mergeCell ref="A21:D21"/>
    <mergeCell ref="A19:D19"/>
    <mergeCell ref="A18:D18"/>
    <mergeCell ref="H5:K5"/>
    <mergeCell ref="A7:E7"/>
    <mergeCell ref="A15:E15"/>
    <mergeCell ref="A20:E20"/>
    <mergeCell ref="A8:E8"/>
    <mergeCell ref="A6:D6"/>
    <mergeCell ref="A10:D10"/>
    <mergeCell ref="A9:D9"/>
    <mergeCell ref="A17:D17"/>
    <mergeCell ref="A16:D16"/>
    <mergeCell ref="A14:D14"/>
    <mergeCell ref="A13:D13"/>
    <mergeCell ref="A12:D12"/>
  </mergeCells>
  <phoneticPr fontId="0" type="noConversion"/>
  <pageMargins left="0.78740157499999996" right="0.78740157499999996" top="0.984251969" bottom="0.984251969" header="0.51181102300000003" footer="0.51181102300000003"/>
  <pageSetup paperSize="9" scale="91" orientation="portrait" r:id="rId2"/>
  <headerFooter alignWithMargins="0">
    <oddFooter>&amp;L\Kalkul_a\&amp;F&amp;RSeite &amp;P von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J22"/>
  <sheetViews>
    <sheetView workbookViewId="0">
      <selection activeCell="C9" sqref="C9"/>
    </sheetView>
  </sheetViews>
  <sheetFormatPr baseColWidth="10" defaultColWidth="11.42578125" defaultRowHeight="12.75" x14ac:dyDescent="0.2"/>
  <cols>
    <col min="1" max="1" width="41.28515625" style="131" customWidth="1"/>
    <col min="2" max="2" width="10.7109375" style="131" customWidth="1"/>
    <col min="3" max="4" width="11.42578125" style="131"/>
    <col min="5" max="5" width="3.28515625" style="131" customWidth="1"/>
    <col min="6" max="6" width="16.7109375" style="131" customWidth="1"/>
    <col min="7" max="16384" width="11.42578125" style="131"/>
  </cols>
  <sheetData>
    <row r="1" spans="1:10" ht="15.75" x14ac:dyDescent="0.25">
      <c r="A1" s="267" t="str">
        <f>DECKBLATT!A1</f>
        <v>KALKULATION SPINNEREI</v>
      </c>
      <c r="B1" s="269"/>
      <c r="C1" s="269"/>
      <c r="D1" s="269"/>
    </row>
    <row r="2" spans="1:10" ht="15.75" x14ac:dyDescent="0.25">
      <c r="A2" s="452"/>
    </row>
    <row r="3" spans="1:10" ht="15.75" x14ac:dyDescent="0.25">
      <c r="A3" s="453" t="str">
        <f>DECKBLATT!A3</f>
        <v>Projekt</v>
      </c>
      <c r="B3" s="900" t="str">
        <f>DECKBLATT!D3</f>
        <v>System</v>
      </c>
      <c r="C3" s="902"/>
      <c r="D3" s="900" t="str">
        <f>DECKBLATT!E3</f>
        <v>Datum</v>
      </c>
      <c r="E3" s="902"/>
      <c r="F3" s="261" t="str">
        <f>DECKBLATT!F3</f>
        <v>Ersteller</v>
      </c>
    </row>
    <row r="4" spans="1:10" ht="63" x14ac:dyDescent="0.2">
      <c r="A4" s="454" t="str">
        <f>DECKBLATT!A4</f>
        <v>Alpha Yarn Egypt 500537_10_0 FSA
Kein PC und keine Visualisierung. 
Textdisplay mit Störmeldungen ohne Grafik</v>
      </c>
      <c r="B4" s="903" t="str">
        <f>DECKBLATT!D4</f>
        <v>FA</v>
      </c>
      <c r="C4" s="905"/>
      <c r="D4" s="939">
        <f>DECKBLATT!E4</f>
        <v>44628</v>
      </c>
      <c r="E4" s="905"/>
      <c r="F4" s="343" t="str">
        <f>DECKBLATT!F4</f>
        <v>Schellhammer</v>
      </c>
      <c r="H4" s="271"/>
      <c r="I4" s="271"/>
      <c r="J4" s="271"/>
    </row>
    <row r="6" spans="1:10" ht="15.75" x14ac:dyDescent="0.25">
      <c r="A6" s="938" t="s">
        <v>104</v>
      </c>
      <c r="B6" s="938"/>
      <c r="C6" s="938"/>
      <c r="D6" s="938"/>
    </row>
    <row r="7" spans="1:10" ht="16.5" thickBot="1" x14ac:dyDescent="0.3">
      <c r="A7" s="275"/>
      <c r="B7" s="275"/>
      <c r="C7" s="275"/>
      <c r="D7" s="275"/>
      <c r="E7" s="275"/>
      <c r="F7" s="275"/>
    </row>
    <row r="8" spans="1:10" ht="15.75" x14ac:dyDescent="0.25">
      <c r="A8" s="578" t="s">
        <v>105</v>
      </c>
      <c r="B8" s="579" t="s">
        <v>107</v>
      </c>
      <c r="C8" s="580" t="s">
        <v>6</v>
      </c>
      <c r="D8" s="581" t="s">
        <v>106</v>
      </c>
      <c r="E8" s="275"/>
      <c r="F8" s="131">
        <v>36</v>
      </c>
    </row>
    <row r="9" spans="1:10" x14ac:dyDescent="0.2">
      <c r="A9" s="582" t="s">
        <v>117</v>
      </c>
      <c r="B9" s="455">
        <v>6</v>
      </c>
      <c r="C9" s="777">
        <f>HW!B12+HW!B13+HW!B14</f>
        <v>1</v>
      </c>
      <c r="D9" s="650">
        <f>C9*B9</f>
        <v>6</v>
      </c>
      <c r="F9" s="131">
        <f>D9*$F$8</f>
        <v>216</v>
      </c>
    </row>
    <row r="10" spans="1:10" x14ac:dyDescent="0.2">
      <c r="A10" s="583" t="s">
        <v>110</v>
      </c>
      <c r="B10" s="556">
        <v>3</v>
      </c>
      <c r="C10" s="457">
        <f>HW!B176</f>
        <v>6</v>
      </c>
      <c r="D10" s="649">
        <f>ROUNDUP(C10*B10,0)</f>
        <v>18</v>
      </c>
      <c r="F10" s="131">
        <f t="shared" ref="F10:F20" si="0">D10*$F$8</f>
        <v>648</v>
      </c>
    </row>
    <row r="11" spans="1:10" x14ac:dyDescent="0.2">
      <c r="A11" s="583" t="s">
        <v>384</v>
      </c>
      <c r="B11" s="456">
        <v>6</v>
      </c>
      <c r="C11" s="458">
        <f>HW!B167</f>
        <v>66</v>
      </c>
      <c r="D11" s="649">
        <f>ROUNDUP(C11/B11,0)</f>
        <v>11</v>
      </c>
      <c r="F11" s="131">
        <f t="shared" si="0"/>
        <v>396</v>
      </c>
    </row>
    <row r="12" spans="1:10" x14ac:dyDescent="0.2">
      <c r="A12" s="583" t="s">
        <v>203</v>
      </c>
      <c r="B12" s="456">
        <v>21</v>
      </c>
      <c r="C12" s="458">
        <f>+HW!B168</f>
        <v>0</v>
      </c>
      <c r="D12" s="649">
        <f>ROUNDUP(C12/B12,0)</f>
        <v>0</v>
      </c>
      <c r="F12" s="131">
        <f t="shared" si="0"/>
        <v>0</v>
      </c>
    </row>
    <row r="13" spans="1:10" x14ac:dyDescent="0.2">
      <c r="A13" s="583" t="s">
        <v>108</v>
      </c>
      <c r="B13" s="459">
        <v>0.9</v>
      </c>
      <c r="C13" s="458">
        <f>SUM(Mengengerüst!B172:B178)</f>
        <v>19</v>
      </c>
      <c r="D13" s="649">
        <f>C13*B13</f>
        <v>17.100000000000001</v>
      </c>
      <c r="F13" s="131">
        <f t="shared" si="0"/>
        <v>615.6</v>
      </c>
    </row>
    <row r="14" spans="1:10" x14ac:dyDescent="0.2">
      <c r="A14" s="583" t="s">
        <v>109</v>
      </c>
      <c r="B14" s="456">
        <v>1</v>
      </c>
      <c r="C14" s="458">
        <f>SUM(HW!B95:B101)</f>
        <v>15</v>
      </c>
      <c r="D14" s="649">
        <f>C14*B14</f>
        <v>15</v>
      </c>
      <c r="F14" s="131">
        <f t="shared" si="0"/>
        <v>540</v>
      </c>
    </row>
    <row r="15" spans="1:10" x14ac:dyDescent="0.2">
      <c r="A15" s="583" t="s">
        <v>114</v>
      </c>
      <c r="B15" s="556">
        <v>1.5</v>
      </c>
      <c r="C15" s="458">
        <f>EAs!B52+EAs!B53+EAs!B54</f>
        <v>1</v>
      </c>
      <c r="D15" s="649">
        <f>B15*C15</f>
        <v>1.5</v>
      </c>
      <c r="F15" s="131">
        <f t="shared" si="0"/>
        <v>54</v>
      </c>
    </row>
    <row r="16" spans="1:10" x14ac:dyDescent="0.2">
      <c r="A16" s="583" t="s">
        <v>238</v>
      </c>
      <c r="B16" s="456">
        <v>0.45</v>
      </c>
      <c r="C16" s="458">
        <f>HW!B164</f>
        <v>29</v>
      </c>
      <c r="D16" s="649">
        <f t="shared" ref="D16:D20" si="1">ROUNDUP(C16*B16,0)</f>
        <v>14</v>
      </c>
      <c r="F16" s="131">
        <f t="shared" si="0"/>
        <v>504</v>
      </c>
    </row>
    <row r="17" spans="1:6" x14ac:dyDescent="0.2">
      <c r="A17" s="584" t="s">
        <v>115</v>
      </c>
      <c r="B17" s="556">
        <v>4</v>
      </c>
      <c r="C17" s="458">
        <f>EAs!B40</f>
        <v>0</v>
      </c>
      <c r="D17" s="649">
        <f t="shared" si="1"/>
        <v>0</v>
      </c>
      <c r="F17" s="131">
        <f t="shared" si="0"/>
        <v>0</v>
      </c>
    </row>
    <row r="18" spans="1:6" x14ac:dyDescent="0.2">
      <c r="A18" s="584" t="s">
        <v>116</v>
      </c>
      <c r="B18" s="456">
        <v>0.5</v>
      </c>
      <c r="C18" s="458">
        <f>EAs!B50</f>
        <v>3</v>
      </c>
      <c r="D18" s="649">
        <f t="shared" si="1"/>
        <v>2</v>
      </c>
      <c r="F18" s="131">
        <f t="shared" si="0"/>
        <v>72</v>
      </c>
    </row>
    <row r="19" spans="1:6" x14ac:dyDescent="0.2">
      <c r="A19" s="583" t="s">
        <v>111</v>
      </c>
      <c r="B19" s="456">
        <v>0.45</v>
      </c>
      <c r="C19" s="458">
        <f>HW!B165</f>
        <v>27</v>
      </c>
      <c r="D19" s="649">
        <f t="shared" si="1"/>
        <v>13</v>
      </c>
      <c r="F19" s="131">
        <f t="shared" si="0"/>
        <v>468</v>
      </c>
    </row>
    <row r="20" spans="1:6" ht="13.5" thickBot="1" x14ac:dyDescent="0.25">
      <c r="A20" s="585" t="s">
        <v>334</v>
      </c>
      <c r="B20" s="586">
        <v>0.5</v>
      </c>
      <c r="C20" s="587">
        <f>C10*10</f>
        <v>60</v>
      </c>
      <c r="D20" s="651">
        <f t="shared" si="1"/>
        <v>30</v>
      </c>
      <c r="E20" s="460"/>
      <c r="F20" s="131">
        <f t="shared" si="0"/>
        <v>1080</v>
      </c>
    </row>
    <row r="21" spans="1:6" x14ac:dyDescent="0.2">
      <c r="A21" s="575"/>
      <c r="B21" s="291"/>
      <c r="C21" s="576" t="s">
        <v>83</v>
      </c>
      <c r="D21" s="577">
        <f>ROUNDUP(SUM(D9:D20),0)</f>
        <v>128</v>
      </c>
    </row>
    <row r="22" spans="1:6" x14ac:dyDescent="0.2">
      <c r="A22" s="937" t="s">
        <v>423</v>
      </c>
      <c r="B22" s="937"/>
      <c r="C22" s="461">
        <v>0.1</v>
      </c>
      <c r="D22" s="462">
        <f>D21+(D21*C22)</f>
        <v>140.80000000000001</v>
      </c>
      <c r="F22" s="131">
        <f>SUM(F8:F21)</f>
        <v>4629.6000000000004</v>
      </c>
    </row>
  </sheetData>
  <customSheetViews>
    <customSheetView guid="{3AE3C0CE-F6F6-4222-9052-F72F2FCDEDAE}">
      <selection activeCell="F29" sqref="F29"/>
      <pageMargins left="0.78740157499999996" right="0.78740157499999996" top="0.984251969" bottom="0.984251969" header="0.4921259845" footer="0.4921259845"/>
      <pageSetup paperSize="9" orientation="portrait" r:id="rId1"/>
      <headerFooter alignWithMargins="0"/>
    </customSheetView>
  </customSheetViews>
  <mergeCells count="6">
    <mergeCell ref="A22:B22"/>
    <mergeCell ref="A6:D6"/>
    <mergeCell ref="B3:C3"/>
    <mergeCell ref="B4:C4"/>
    <mergeCell ref="D3:E3"/>
    <mergeCell ref="D4:E4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8"/>
  <dimension ref="A1:I194"/>
  <sheetViews>
    <sheetView topLeftCell="A170" zoomScale="85" zoomScaleNormal="85" workbookViewId="0">
      <selection activeCell="B183" sqref="B183"/>
    </sheetView>
  </sheetViews>
  <sheetFormatPr baseColWidth="10" defaultColWidth="11.42578125" defaultRowHeight="12.75" x14ac:dyDescent="0.2"/>
  <cols>
    <col min="1" max="1" width="29.42578125" style="44" customWidth="1"/>
    <col min="2" max="16384" width="11.42578125" style="44"/>
  </cols>
  <sheetData>
    <row r="1" spans="1:9" ht="18.75" x14ac:dyDescent="0.2">
      <c r="A1" s="942" t="s">
        <v>272</v>
      </c>
      <c r="B1" s="942"/>
      <c r="C1" s="942"/>
      <c r="D1" s="597"/>
      <c r="E1" s="597"/>
      <c r="F1" s="597"/>
      <c r="G1" s="597"/>
    </row>
    <row r="2" spans="1:9" x14ac:dyDescent="0.2">
      <c r="A2" s="588" t="s">
        <v>231</v>
      </c>
      <c r="B2" s="941" t="str">
        <f>DECKBLATT!A4</f>
        <v>Alpha Yarn Egypt 500537_10_0 FSA
Kein PC und keine Visualisierung. 
Textdisplay mit Störmeldungen ohne Grafik</v>
      </c>
      <c r="C2" s="941"/>
      <c r="D2" s="941"/>
      <c r="E2" s="941"/>
      <c r="F2" s="849" t="str">
        <f>Mengengerüst!$H$2</f>
        <v>In Grau Markierte Fehlder müssen Zahlenwerte
eingetragen werden</v>
      </c>
      <c r="G2" s="849"/>
      <c r="H2" s="849"/>
      <c r="I2" s="849"/>
    </row>
    <row r="3" spans="1:9" x14ac:dyDescent="0.2">
      <c r="A3" s="588"/>
      <c r="B3" s="596"/>
      <c r="C3" s="596"/>
      <c r="D3" s="596"/>
      <c r="E3" s="596"/>
      <c r="F3" s="850" t="str">
        <f>Mengengerüst!$H$3</f>
        <v>Lila Markierte Felder Sonderfelder nur Bedingt ändern.</v>
      </c>
      <c r="G3" s="850"/>
      <c r="H3" s="850"/>
      <c r="I3" s="850"/>
    </row>
    <row r="4" spans="1:9" ht="13.5" thickBot="1" x14ac:dyDescent="0.25">
      <c r="A4" s="588" t="s">
        <v>255</v>
      </c>
      <c r="B4" s="588"/>
      <c r="F4" s="853" t="str">
        <f>Mengengerüst!$H$4</f>
        <v>Gelb Markierte Felder nicht ändern (Formeln hinterlegt)</v>
      </c>
      <c r="G4" s="853"/>
      <c r="H4" s="853"/>
      <c r="I4" s="853"/>
    </row>
    <row r="5" spans="1:9" x14ac:dyDescent="0.2">
      <c r="A5" s="44" t="s">
        <v>210</v>
      </c>
      <c r="B5" s="589">
        <v>0</v>
      </c>
    </row>
    <row r="6" spans="1:9" x14ac:dyDescent="0.2">
      <c r="A6" s="44" t="s">
        <v>211</v>
      </c>
      <c r="B6" s="590">
        <v>0</v>
      </c>
    </row>
    <row r="7" spans="1:9" x14ac:dyDescent="0.2">
      <c r="A7" s="44" t="s">
        <v>257</v>
      </c>
      <c r="B7" s="590">
        <f>B5*1</f>
        <v>0</v>
      </c>
      <c r="E7" s="44" t="s">
        <v>367</v>
      </c>
    </row>
    <row r="8" spans="1:9" x14ac:dyDescent="0.2">
      <c r="A8" s="44" t="s">
        <v>258</v>
      </c>
      <c r="B8" s="44">
        <v>0</v>
      </c>
      <c r="E8" s="44">
        <v>3</v>
      </c>
    </row>
    <row r="9" spans="1:9" x14ac:dyDescent="0.2">
      <c r="A9" s="44" t="s">
        <v>259</v>
      </c>
      <c r="B9" s="44">
        <v>0</v>
      </c>
      <c r="E9" s="44">
        <v>8</v>
      </c>
    </row>
    <row r="10" spans="1:9" x14ac:dyDescent="0.2">
      <c r="A10" s="44" t="s">
        <v>212</v>
      </c>
      <c r="B10" s="44">
        <v>0</v>
      </c>
      <c r="E10" s="44">
        <v>1</v>
      </c>
    </row>
    <row r="11" spans="1:9" x14ac:dyDescent="0.2">
      <c r="A11" s="44" t="s">
        <v>31</v>
      </c>
      <c r="B11" s="44">
        <v>0</v>
      </c>
      <c r="E11" s="44">
        <v>2</v>
      </c>
    </row>
    <row r="12" spans="1:9" x14ac:dyDescent="0.2">
      <c r="A12" s="44" t="s">
        <v>260</v>
      </c>
      <c r="B12" s="44">
        <v>0</v>
      </c>
      <c r="E12" s="44">
        <v>1</v>
      </c>
    </row>
    <row r="13" spans="1:9" x14ac:dyDescent="0.2">
      <c r="A13" s="44" t="s">
        <v>261</v>
      </c>
      <c r="B13" s="590">
        <f>B5</f>
        <v>0</v>
      </c>
      <c r="C13" s="591"/>
    </row>
    <row r="14" spans="1:9" x14ac:dyDescent="0.2">
      <c r="A14" s="44" t="s">
        <v>261</v>
      </c>
      <c r="B14" s="592">
        <v>0</v>
      </c>
      <c r="C14" s="591" t="s">
        <v>267</v>
      </c>
    </row>
    <row r="15" spans="1:9" x14ac:dyDescent="0.2">
      <c r="A15" s="44" t="s">
        <v>262</v>
      </c>
      <c r="B15" s="590">
        <f>B5</f>
        <v>0</v>
      </c>
      <c r="C15" s="591"/>
    </row>
    <row r="16" spans="1:9" x14ac:dyDescent="0.2">
      <c r="A16" s="44" t="s">
        <v>263</v>
      </c>
      <c r="B16" s="590">
        <f>B5</f>
        <v>0</v>
      </c>
      <c r="C16" s="591"/>
    </row>
    <row r="17" spans="1:5" x14ac:dyDescent="0.2">
      <c r="A17" s="44" t="s">
        <v>214</v>
      </c>
      <c r="B17" s="44">
        <v>0</v>
      </c>
      <c r="C17" s="591"/>
      <c r="E17" s="44">
        <v>3</v>
      </c>
    </row>
    <row r="18" spans="1:5" x14ac:dyDescent="0.2">
      <c r="A18" s="44" t="s">
        <v>264</v>
      </c>
      <c r="B18" s="44">
        <v>0</v>
      </c>
      <c r="C18" s="591"/>
      <c r="E18" s="44">
        <v>2</v>
      </c>
    </row>
    <row r="19" spans="1:5" x14ac:dyDescent="0.2">
      <c r="A19" s="44" t="s">
        <v>265</v>
      </c>
      <c r="B19" s="44">
        <v>0</v>
      </c>
      <c r="C19" s="591"/>
      <c r="E19" s="44">
        <v>2</v>
      </c>
    </row>
    <row r="20" spans="1:5" x14ac:dyDescent="0.2">
      <c r="C20" s="591"/>
    </row>
    <row r="21" spans="1:5" x14ac:dyDescent="0.2">
      <c r="A21" s="588" t="s">
        <v>266</v>
      </c>
      <c r="B21" s="588"/>
      <c r="C21" s="591"/>
    </row>
    <row r="22" spans="1:5" x14ac:dyDescent="0.2">
      <c r="A22" s="44" t="s">
        <v>210</v>
      </c>
      <c r="B22" s="589">
        <v>0</v>
      </c>
      <c r="C22" s="591"/>
    </row>
    <row r="23" spans="1:5" x14ac:dyDescent="0.2">
      <c r="A23" s="44" t="s">
        <v>211</v>
      </c>
      <c r="B23" s="590">
        <f>B22*1</f>
        <v>0</v>
      </c>
      <c r="C23" s="591"/>
    </row>
    <row r="24" spans="1:5" x14ac:dyDescent="0.2">
      <c r="A24" s="44" t="s">
        <v>257</v>
      </c>
      <c r="B24" s="590">
        <f>B22*1</f>
        <v>0</v>
      </c>
      <c r="C24" s="591"/>
    </row>
    <row r="25" spans="1:5" x14ac:dyDescent="0.2">
      <c r="A25" s="44" t="s">
        <v>258</v>
      </c>
      <c r="B25" s="44">
        <v>0</v>
      </c>
      <c r="C25" s="591"/>
      <c r="E25" s="44">
        <v>3</v>
      </c>
    </row>
    <row r="26" spans="1:5" x14ac:dyDescent="0.2">
      <c r="A26" s="44" t="s">
        <v>259</v>
      </c>
      <c r="B26" s="44">
        <v>0</v>
      </c>
      <c r="C26" s="591"/>
      <c r="E26" s="44">
        <v>8</v>
      </c>
    </row>
    <row r="27" spans="1:5" x14ac:dyDescent="0.2">
      <c r="A27" s="44" t="s">
        <v>212</v>
      </c>
      <c r="B27" s="44">
        <v>0</v>
      </c>
      <c r="C27" s="591"/>
      <c r="E27" s="44">
        <v>1</v>
      </c>
    </row>
    <row r="28" spans="1:5" x14ac:dyDescent="0.2">
      <c r="A28" s="44" t="s">
        <v>31</v>
      </c>
      <c r="B28" s="44">
        <v>0</v>
      </c>
      <c r="C28" s="591"/>
      <c r="E28" s="44">
        <v>2</v>
      </c>
    </row>
    <row r="29" spans="1:5" x14ac:dyDescent="0.2">
      <c r="A29" s="44" t="s">
        <v>260</v>
      </c>
      <c r="B29" s="44">
        <v>0</v>
      </c>
      <c r="C29" s="591"/>
      <c r="E29" s="44">
        <v>1</v>
      </c>
    </row>
    <row r="30" spans="1:5" x14ac:dyDescent="0.2">
      <c r="A30" s="44" t="s">
        <v>261</v>
      </c>
      <c r="B30" s="590">
        <f>B22</f>
        <v>0</v>
      </c>
      <c r="C30" s="591"/>
    </row>
    <row r="31" spans="1:5" x14ac:dyDescent="0.2">
      <c r="A31" s="44" t="s">
        <v>261</v>
      </c>
      <c r="B31" s="592">
        <v>0</v>
      </c>
      <c r="C31" s="591" t="s">
        <v>267</v>
      </c>
    </row>
    <row r="32" spans="1:5" x14ac:dyDescent="0.2">
      <c r="A32" s="44" t="s">
        <v>262</v>
      </c>
      <c r="B32" s="590">
        <f>B22</f>
        <v>0</v>
      </c>
      <c r="C32" s="591"/>
    </row>
    <row r="33" spans="1:5" x14ac:dyDescent="0.2">
      <c r="A33" s="44" t="s">
        <v>263</v>
      </c>
      <c r="B33" s="590">
        <f>B22</f>
        <v>0</v>
      </c>
      <c r="C33" s="591"/>
    </row>
    <row r="34" spans="1:5" x14ac:dyDescent="0.2">
      <c r="A34" s="44" t="s">
        <v>214</v>
      </c>
      <c r="B34" s="44">
        <v>0</v>
      </c>
      <c r="C34" s="591"/>
      <c r="E34" s="44">
        <v>3</v>
      </c>
    </row>
    <row r="35" spans="1:5" x14ac:dyDescent="0.2">
      <c r="A35" s="44" t="s">
        <v>264</v>
      </c>
      <c r="B35" s="44">
        <v>0</v>
      </c>
      <c r="C35" s="591"/>
      <c r="E35" s="44">
        <v>2</v>
      </c>
    </row>
    <row r="36" spans="1:5" x14ac:dyDescent="0.2">
      <c r="A36" s="44" t="s">
        <v>265</v>
      </c>
      <c r="B36" s="44">
        <v>0</v>
      </c>
      <c r="C36" s="591"/>
      <c r="E36" s="44">
        <v>2</v>
      </c>
    </row>
    <row r="37" spans="1:5" x14ac:dyDescent="0.2">
      <c r="C37" s="591"/>
    </row>
    <row r="38" spans="1:5" x14ac:dyDescent="0.2">
      <c r="A38" s="588" t="s">
        <v>268</v>
      </c>
      <c r="B38" s="588"/>
      <c r="C38" s="591"/>
    </row>
    <row r="39" spans="1:5" x14ac:dyDescent="0.2">
      <c r="A39" s="44" t="s">
        <v>210</v>
      </c>
      <c r="B39" s="589">
        <v>0</v>
      </c>
      <c r="C39" s="591" t="s">
        <v>269</v>
      </c>
    </row>
    <row r="40" spans="1:5" x14ac:dyDescent="0.2">
      <c r="A40" s="44" t="s">
        <v>211</v>
      </c>
      <c r="B40" s="590">
        <f>B39*1</f>
        <v>0</v>
      </c>
      <c r="C40" s="591"/>
    </row>
    <row r="41" spans="1:5" x14ac:dyDescent="0.2">
      <c r="A41" s="44" t="s">
        <v>257</v>
      </c>
      <c r="B41" s="590">
        <f>B39*1</f>
        <v>0</v>
      </c>
      <c r="C41" s="591"/>
    </row>
    <row r="42" spans="1:5" x14ac:dyDescent="0.2">
      <c r="A42" s="44" t="s">
        <v>258</v>
      </c>
      <c r="B42" s="44">
        <v>0</v>
      </c>
      <c r="C42" s="591"/>
      <c r="E42" s="44">
        <v>3</v>
      </c>
    </row>
    <row r="43" spans="1:5" x14ac:dyDescent="0.2">
      <c r="A43" s="44" t="s">
        <v>259</v>
      </c>
      <c r="B43" s="44">
        <v>0</v>
      </c>
      <c r="C43" s="591"/>
      <c r="E43" s="44">
        <v>8</v>
      </c>
    </row>
    <row r="44" spans="1:5" x14ac:dyDescent="0.2">
      <c r="A44" s="44" t="s">
        <v>212</v>
      </c>
      <c r="B44" s="44">
        <v>0</v>
      </c>
      <c r="C44" s="591"/>
      <c r="E44" s="44">
        <v>1</v>
      </c>
    </row>
    <row r="45" spans="1:5" x14ac:dyDescent="0.2">
      <c r="A45" s="44" t="s">
        <v>31</v>
      </c>
      <c r="B45" s="44">
        <v>0</v>
      </c>
      <c r="C45" s="591"/>
      <c r="E45" s="44">
        <v>2</v>
      </c>
    </row>
    <row r="46" spans="1:5" x14ac:dyDescent="0.2">
      <c r="A46" s="44" t="s">
        <v>260</v>
      </c>
      <c r="B46" s="44">
        <v>0</v>
      </c>
      <c r="C46" s="591"/>
      <c r="E46" s="44">
        <v>1</v>
      </c>
    </row>
    <row r="47" spans="1:5" x14ac:dyDescent="0.2">
      <c r="A47" s="44" t="s">
        <v>261</v>
      </c>
      <c r="B47" s="590">
        <f>B39</f>
        <v>0</v>
      </c>
      <c r="C47" s="591"/>
    </row>
    <row r="48" spans="1:5" x14ac:dyDescent="0.2">
      <c r="A48" s="44" t="s">
        <v>261</v>
      </c>
      <c r="B48" s="592">
        <v>0</v>
      </c>
      <c r="C48" s="591" t="s">
        <v>267</v>
      </c>
    </row>
    <row r="49" spans="1:5" x14ac:dyDescent="0.2">
      <c r="A49" s="44" t="s">
        <v>262</v>
      </c>
      <c r="B49" s="590">
        <f>B39</f>
        <v>0</v>
      </c>
      <c r="C49" s="591"/>
    </row>
    <row r="50" spans="1:5" x14ac:dyDescent="0.2">
      <c r="A50" s="44" t="s">
        <v>263</v>
      </c>
      <c r="B50" s="590">
        <f>B39</f>
        <v>0</v>
      </c>
      <c r="C50" s="591"/>
    </row>
    <row r="51" spans="1:5" x14ac:dyDescent="0.2">
      <c r="A51" s="44" t="s">
        <v>214</v>
      </c>
      <c r="B51" s="44">
        <v>0</v>
      </c>
      <c r="C51" s="591"/>
      <c r="E51" s="44">
        <v>3</v>
      </c>
    </row>
    <row r="52" spans="1:5" x14ac:dyDescent="0.2">
      <c r="A52" s="44" t="s">
        <v>264</v>
      </c>
      <c r="B52" s="44">
        <v>0</v>
      </c>
      <c r="C52" s="591"/>
      <c r="E52" s="44">
        <v>2</v>
      </c>
    </row>
    <row r="53" spans="1:5" x14ac:dyDescent="0.2">
      <c r="A53" s="44" t="s">
        <v>265</v>
      </c>
      <c r="B53" s="44">
        <v>0</v>
      </c>
      <c r="C53" s="591"/>
      <c r="E53" s="44">
        <v>2</v>
      </c>
    </row>
    <row r="54" spans="1:5" x14ac:dyDescent="0.2">
      <c r="C54" s="591"/>
    </row>
    <row r="55" spans="1:5" x14ac:dyDescent="0.2">
      <c r="A55" s="588" t="s">
        <v>270</v>
      </c>
      <c r="B55" s="588"/>
    </row>
    <row r="56" spans="1:5" x14ac:dyDescent="0.2">
      <c r="A56" s="44" t="s">
        <v>210</v>
      </c>
      <c r="B56" s="589">
        <v>0</v>
      </c>
    </row>
    <row r="57" spans="1:5" x14ac:dyDescent="0.2">
      <c r="A57" s="44" t="s">
        <v>211</v>
      </c>
      <c r="B57" s="590">
        <f>B56*1</f>
        <v>0</v>
      </c>
    </row>
    <row r="58" spans="1:5" x14ac:dyDescent="0.2">
      <c r="A58" s="44" t="s">
        <v>257</v>
      </c>
      <c r="B58" s="590">
        <f>B56*1</f>
        <v>0</v>
      </c>
    </row>
    <row r="59" spans="1:5" x14ac:dyDescent="0.2">
      <c r="A59" s="44" t="s">
        <v>258</v>
      </c>
      <c r="B59" s="44">
        <v>0</v>
      </c>
      <c r="E59" s="44">
        <v>3</v>
      </c>
    </row>
    <row r="60" spans="1:5" x14ac:dyDescent="0.2">
      <c r="A60" s="44" t="s">
        <v>259</v>
      </c>
      <c r="B60" s="44">
        <v>0</v>
      </c>
      <c r="E60" s="44">
        <v>8</v>
      </c>
    </row>
    <row r="61" spans="1:5" x14ac:dyDescent="0.2">
      <c r="A61" s="44" t="s">
        <v>212</v>
      </c>
      <c r="B61" s="44">
        <v>0</v>
      </c>
      <c r="E61" s="44">
        <v>1</v>
      </c>
    </row>
    <row r="62" spans="1:5" x14ac:dyDescent="0.2">
      <c r="A62" s="44" t="s">
        <v>31</v>
      </c>
      <c r="B62" s="44">
        <v>0</v>
      </c>
      <c r="E62" s="44">
        <v>2</v>
      </c>
    </row>
    <row r="63" spans="1:5" x14ac:dyDescent="0.2">
      <c r="A63" s="44" t="s">
        <v>260</v>
      </c>
      <c r="B63" s="44">
        <v>0</v>
      </c>
      <c r="E63" s="44">
        <v>1</v>
      </c>
    </row>
    <row r="64" spans="1:5" x14ac:dyDescent="0.2">
      <c r="A64" s="44" t="s">
        <v>261</v>
      </c>
      <c r="B64" s="590">
        <f>B56</f>
        <v>0</v>
      </c>
      <c r="C64" s="591"/>
    </row>
    <row r="65" spans="1:5" x14ac:dyDescent="0.2">
      <c r="A65" s="44" t="s">
        <v>261</v>
      </c>
      <c r="B65" s="592">
        <v>0</v>
      </c>
      <c r="C65" s="591" t="s">
        <v>267</v>
      </c>
    </row>
    <row r="66" spans="1:5" x14ac:dyDescent="0.2">
      <c r="A66" s="44" t="s">
        <v>262</v>
      </c>
      <c r="B66" s="590">
        <f>B56</f>
        <v>0</v>
      </c>
      <c r="C66" s="591"/>
    </row>
    <row r="67" spans="1:5" x14ac:dyDescent="0.2">
      <c r="A67" s="44" t="s">
        <v>263</v>
      </c>
      <c r="B67" s="590">
        <f>B56</f>
        <v>0</v>
      </c>
      <c r="C67" s="591"/>
    </row>
    <row r="68" spans="1:5" x14ac:dyDescent="0.2">
      <c r="A68" s="44" t="s">
        <v>214</v>
      </c>
      <c r="B68" s="44">
        <v>0</v>
      </c>
      <c r="C68" s="591"/>
      <c r="E68" s="44">
        <v>3</v>
      </c>
    </row>
    <row r="69" spans="1:5" x14ac:dyDescent="0.2">
      <c r="A69" s="44" t="s">
        <v>264</v>
      </c>
      <c r="B69" s="44">
        <v>0</v>
      </c>
      <c r="C69" s="591"/>
      <c r="E69" s="44">
        <v>2</v>
      </c>
    </row>
    <row r="70" spans="1:5" x14ac:dyDescent="0.2">
      <c r="A70" s="44" t="s">
        <v>265</v>
      </c>
      <c r="B70" s="44">
        <v>0</v>
      </c>
      <c r="C70" s="591"/>
      <c r="E70" s="44">
        <v>2</v>
      </c>
    </row>
    <row r="71" spans="1:5" x14ac:dyDescent="0.2">
      <c r="C71" s="591"/>
    </row>
    <row r="72" spans="1:5" x14ac:dyDescent="0.2">
      <c r="A72" s="588" t="s">
        <v>273</v>
      </c>
      <c r="B72" s="588"/>
    </row>
    <row r="73" spans="1:5" x14ac:dyDescent="0.2">
      <c r="A73" s="44" t="s">
        <v>210</v>
      </c>
      <c r="B73" s="589">
        <v>0</v>
      </c>
    </row>
    <row r="74" spans="1:5" x14ac:dyDescent="0.2">
      <c r="A74" s="44" t="s">
        <v>211</v>
      </c>
      <c r="B74" s="590">
        <f>B73*1</f>
        <v>0</v>
      </c>
    </row>
    <row r="75" spans="1:5" x14ac:dyDescent="0.2">
      <c r="A75" s="44" t="s">
        <v>257</v>
      </c>
      <c r="B75" s="590">
        <f>B73*1</f>
        <v>0</v>
      </c>
    </row>
    <row r="76" spans="1:5" x14ac:dyDescent="0.2">
      <c r="A76" s="44" t="s">
        <v>258</v>
      </c>
      <c r="B76" s="44">
        <v>0</v>
      </c>
      <c r="C76" s="44">
        <v>3</v>
      </c>
    </row>
    <row r="77" spans="1:5" x14ac:dyDescent="0.2">
      <c r="A77" s="44" t="s">
        <v>259</v>
      </c>
      <c r="B77" s="44">
        <v>0</v>
      </c>
      <c r="C77" s="44">
        <v>8</v>
      </c>
    </row>
    <row r="78" spans="1:5" x14ac:dyDescent="0.2">
      <c r="A78" s="44" t="s">
        <v>212</v>
      </c>
      <c r="B78" s="44">
        <v>0</v>
      </c>
      <c r="C78" s="44">
        <v>1</v>
      </c>
    </row>
    <row r="79" spans="1:5" x14ac:dyDescent="0.2">
      <c r="A79" s="44" t="s">
        <v>31</v>
      </c>
      <c r="B79" s="44">
        <v>0</v>
      </c>
      <c r="C79" s="44">
        <v>2</v>
      </c>
    </row>
    <row r="80" spans="1:5" x14ac:dyDescent="0.2">
      <c r="A80" s="44" t="s">
        <v>260</v>
      </c>
      <c r="B80" s="44">
        <v>0</v>
      </c>
      <c r="C80" s="44">
        <v>1</v>
      </c>
    </row>
    <row r="81" spans="1:3" x14ac:dyDescent="0.2">
      <c r="A81" s="44" t="s">
        <v>261</v>
      </c>
      <c r="B81" s="590">
        <f>B73</f>
        <v>0</v>
      </c>
      <c r="C81" s="591"/>
    </row>
    <row r="82" spans="1:3" x14ac:dyDescent="0.2">
      <c r="A82" s="44" t="s">
        <v>261</v>
      </c>
      <c r="B82" s="592">
        <v>0</v>
      </c>
      <c r="C82" s="591" t="s">
        <v>267</v>
      </c>
    </row>
    <row r="83" spans="1:3" x14ac:dyDescent="0.2">
      <c r="A83" s="44" t="s">
        <v>262</v>
      </c>
      <c r="B83" s="590">
        <f>B73</f>
        <v>0</v>
      </c>
      <c r="C83" s="591"/>
    </row>
    <row r="84" spans="1:3" x14ac:dyDescent="0.2">
      <c r="A84" s="44" t="s">
        <v>263</v>
      </c>
      <c r="B84" s="590">
        <f>B73</f>
        <v>0</v>
      </c>
      <c r="C84" s="591"/>
    </row>
    <row r="85" spans="1:3" x14ac:dyDescent="0.2">
      <c r="A85" s="44" t="s">
        <v>214</v>
      </c>
      <c r="B85" s="44">
        <v>0</v>
      </c>
      <c r="C85" s="44">
        <v>3</v>
      </c>
    </row>
    <row r="86" spans="1:3" x14ac:dyDescent="0.2">
      <c r="A86" s="44" t="s">
        <v>264</v>
      </c>
      <c r="B86" s="44">
        <v>0</v>
      </c>
      <c r="C86" s="44">
        <v>2</v>
      </c>
    </row>
    <row r="87" spans="1:3" x14ac:dyDescent="0.2">
      <c r="A87" s="44" t="s">
        <v>265</v>
      </c>
      <c r="B87" s="44">
        <v>0</v>
      </c>
      <c r="C87" s="44">
        <v>2</v>
      </c>
    </row>
    <row r="88" spans="1:3" x14ac:dyDescent="0.2">
      <c r="C88" s="591"/>
    </row>
    <row r="89" spans="1:3" x14ac:dyDescent="0.2">
      <c r="A89" s="588" t="s">
        <v>274</v>
      </c>
      <c r="B89" s="588"/>
    </row>
    <row r="90" spans="1:3" x14ac:dyDescent="0.2">
      <c r="A90" s="44" t="s">
        <v>210</v>
      </c>
      <c r="B90" s="589">
        <v>0</v>
      </c>
    </row>
    <row r="91" spans="1:3" x14ac:dyDescent="0.2">
      <c r="A91" s="44" t="s">
        <v>211</v>
      </c>
      <c r="B91" s="590">
        <f>B90*1</f>
        <v>0</v>
      </c>
    </row>
    <row r="92" spans="1:3" x14ac:dyDescent="0.2">
      <c r="A92" s="44" t="s">
        <v>257</v>
      </c>
      <c r="B92" s="590">
        <f>B90*1</f>
        <v>0</v>
      </c>
    </row>
    <row r="93" spans="1:3" x14ac:dyDescent="0.2">
      <c r="A93" s="44" t="s">
        <v>258</v>
      </c>
      <c r="B93" s="44">
        <v>0</v>
      </c>
      <c r="C93" s="44">
        <v>3</v>
      </c>
    </row>
    <row r="94" spans="1:3" x14ac:dyDescent="0.2">
      <c r="A94" s="44" t="s">
        <v>259</v>
      </c>
      <c r="B94" s="44">
        <v>0</v>
      </c>
      <c r="C94" s="44">
        <v>8</v>
      </c>
    </row>
    <row r="95" spans="1:3" x14ac:dyDescent="0.2">
      <c r="A95" s="44" t="s">
        <v>212</v>
      </c>
      <c r="B95" s="44">
        <v>0</v>
      </c>
      <c r="C95" s="44">
        <v>1</v>
      </c>
    </row>
    <row r="96" spans="1:3" x14ac:dyDescent="0.2">
      <c r="A96" s="44" t="s">
        <v>31</v>
      </c>
      <c r="B96" s="44">
        <v>0</v>
      </c>
      <c r="C96" s="44">
        <v>2</v>
      </c>
    </row>
    <row r="97" spans="1:3" x14ac:dyDescent="0.2">
      <c r="A97" s="44" t="s">
        <v>260</v>
      </c>
      <c r="B97" s="44">
        <v>0</v>
      </c>
      <c r="C97" s="44">
        <v>1</v>
      </c>
    </row>
    <row r="98" spans="1:3" x14ac:dyDescent="0.2">
      <c r="A98" s="44" t="s">
        <v>261</v>
      </c>
      <c r="B98" s="593">
        <f>B90</f>
        <v>0</v>
      </c>
      <c r="C98" s="591"/>
    </row>
    <row r="99" spans="1:3" x14ac:dyDescent="0.2">
      <c r="A99" s="44" t="s">
        <v>261</v>
      </c>
      <c r="B99" s="592">
        <v>0</v>
      </c>
      <c r="C99" s="591" t="s">
        <v>267</v>
      </c>
    </row>
    <row r="100" spans="1:3" x14ac:dyDescent="0.2">
      <c r="A100" s="44" t="s">
        <v>262</v>
      </c>
      <c r="B100" s="590">
        <f>B90</f>
        <v>0</v>
      </c>
      <c r="C100" s="591"/>
    </row>
    <row r="101" spans="1:3" x14ac:dyDescent="0.2">
      <c r="A101" s="44" t="s">
        <v>263</v>
      </c>
      <c r="B101" s="590">
        <f>B90</f>
        <v>0</v>
      </c>
      <c r="C101" s="591"/>
    </row>
    <row r="102" spans="1:3" x14ac:dyDescent="0.2">
      <c r="A102" s="44" t="s">
        <v>214</v>
      </c>
      <c r="B102" s="44">
        <v>0</v>
      </c>
      <c r="C102" s="44">
        <v>3</v>
      </c>
    </row>
    <row r="103" spans="1:3" x14ac:dyDescent="0.2">
      <c r="A103" s="44" t="s">
        <v>264</v>
      </c>
      <c r="B103" s="44">
        <v>0</v>
      </c>
      <c r="C103" s="44">
        <v>2</v>
      </c>
    </row>
    <row r="104" spans="1:3" x14ac:dyDescent="0.2">
      <c r="A104" s="44" t="s">
        <v>265</v>
      </c>
      <c r="B104" s="44">
        <v>0</v>
      </c>
      <c r="C104" s="44">
        <v>2</v>
      </c>
    </row>
    <row r="105" spans="1:3" x14ac:dyDescent="0.2">
      <c r="C105" s="591"/>
    </row>
    <row r="106" spans="1:3" x14ac:dyDescent="0.2">
      <c r="A106" s="588" t="s">
        <v>275</v>
      </c>
      <c r="B106" s="588"/>
    </row>
    <row r="107" spans="1:3" x14ac:dyDescent="0.2">
      <c r="A107" s="44" t="s">
        <v>210</v>
      </c>
      <c r="B107" s="589">
        <v>0</v>
      </c>
    </row>
    <row r="108" spans="1:3" x14ac:dyDescent="0.2">
      <c r="A108" s="44" t="s">
        <v>211</v>
      </c>
      <c r="B108" s="590">
        <f>B107*1</f>
        <v>0</v>
      </c>
    </row>
    <row r="109" spans="1:3" x14ac:dyDescent="0.2">
      <c r="A109" s="44" t="s">
        <v>257</v>
      </c>
      <c r="B109" s="590">
        <f>B107*1</f>
        <v>0</v>
      </c>
    </row>
    <row r="110" spans="1:3" x14ac:dyDescent="0.2">
      <c r="A110" s="44" t="s">
        <v>258</v>
      </c>
      <c r="B110" s="44">
        <v>0</v>
      </c>
      <c r="C110" s="44">
        <v>3</v>
      </c>
    </row>
    <row r="111" spans="1:3" x14ac:dyDescent="0.2">
      <c r="A111" s="44" t="s">
        <v>259</v>
      </c>
      <c r="B111" s="44">
        <v>0</v>
      </c>
      <c r="C111" s="44">
        <v>8</v>
      </c>
    </row>
    <row r="112" spans="1:3" x14ac:dyDescent="0.2">
      <c r="A112" s="44" t="s">
        <v>212</v>
      </c>
      <c r="B112" s="44">
        <v>0</v>
      </c>
      <c r="C112" s="44">
        <v>1</v>
      </c>
    </row>
    <row r="113" spans="1:3" x14ac:dyDescent="0.2">
      <c r="A113" s="44" t="s">
        <v>31</v>
      </c>
      <c r="B113" s="44">
        <v>0</v>
      </c>
      <c r="C113" s="44">
        <v>2</v>
      </c>
    </row>
    <row r="114" spans="1:3" x14ac:dyDescent="0.2">
      <c r="A114" s="44" t="s">
        <v>260</v>
      </c>
      <c r="B114" s="44">
        <v>0</v>
      </c>
      <c r="C114" s="44">
        <v>1</v>
      </c>
    </row>
    <row r="115" spans="1:3" x14ac:dyDescent="0.2">
      <c r="A115" s="44" t="s">
        <v>261</v>
      </c>
      <c r="B115" s="590">
        <f>B107</f>
        <v>0</v>
      </c>
      <c r="C115" s="591"/>
    </row>
    <row r="116" spans="1:3" x14ac:dyDescent="0.2">
      <c r="A116" s="44" t="s">
        <v>261</v>
      </c>
      <c r="B116" s="592">
        <v>0</v>
      </c>
      <c r="C116" s="591" t="s">
        <v>267</v>
      </c>
    </row>
    <row r="117" spans="1:3" x14ac:dyDescent="0.2">
      <c r="A117" s="44" t="s">
        <v>262</v>
      </c>
      <c r="B117" s="590">
        <f>B107</f>
        <v>0</v>
      </c>
      <c r="C117" s="591"/>
    </row>
    <row r="118" spans="1:3" x14ac:dyDescent="0.2">
      <c r="A118" s="44" t="s">
        <v>263</v>
      </c>
      <c r="B118" s="590">
        <f>B107</f>
        <v>0</v>
      </c>
      <c r="C118" s="591"/>
    </row>
    <row r="119" spans="1:3" x14ac:dyDescent="0.2">
      <c r="A119" s="44" t="s">
        <v>214</v>
      </c>
      <c r="B119" s="44">
        <v>0</v>
      </c>
      <c r="C119" s="44">
        <v>3</v>
      </c>
    </row>
    <row r="120" spans="1:3" x14ac:dyDescent="0.2">
      <c r="A120" s="44" t="s">
        <v>264</v>
      </c>
      <c r="B120" s="44">
        <v>0</v>
      </c>
      <c r="C120" s="44">
        <v>2</v>
      </c>
    </row>
    <row r="121" spans="1:3" x14ac:dyDescent="0.2">
      <c r="A121" s="44" t="s">
        <v>265</v>
      </c>
      <c r="B121" s="44">
        <v>0</v>
      </c>
      <c r="C121" s="44">
        <v>2</v>
      </c>
    </row>
    <row r="122" spans="1:3" x14ac:dyDescent="0.2">
      <c r="C122" s="591"/>
    </row>
    <row r="123" spans="1:3" x14ac:dyDescent="0.2">
      <c r="A123" s="588" t="s">
        <v>276</v>
      </c>
      <c r="B123" s="588"/>
    </row>
    <row r="124" spans="1:3" x14ac:dyDescent="0.2">
      <c r="A124" s="44" t="s">
        <v>210</v>
      </c>
      <c r="B124" s="589">
        <v>0</v>
      </c>
    </row>
    <row r="125" spans="1:3" x14ac:dyDescent="0.2">
      <c r="A125" s="44" t="s">
        <v>211</v>
      </c>
      <c r="B125" s="590">
        <f>B124*1</f>
        <v>0</v>
      </c>
    </row>
    <row r="126" spans="1:3" x14ac:dyDescent="0.2">
      <c r="A126" s="44" t="s">
        <v>257</v>
      </c>
      <c r="B126" s="590">
        <f>B124*1</f>
        <v>0</v>
      </c>
    </row>
    <row r="127" spans="1:3" x14ac:dyDescent="0.2">
      <c r="A127" s="44" t="s">
        <v>258</v>
      </c>
      <c r="B127" s="44">
        <v>0</v>
      </c>
      <c r="C127" s="44">
        <v>3</v>
      </c>
    </row>
    <row r="128" spans="1:3" x14ac:dyDescent="0.2">
      <c r="A128" s="44" t="s">
        <v>259</v>
      </c>
      <c r="B128" s="44">
        <v>0</v>
      </c>
      <c r="C128" s="44">
        <v>8</v>
      </c>
    </row>
    <row r="129" spans="1:3" x14ac:dyDescent="0.2">
      <c r="A129" s="44" t="s">
        <v>212</v>
      </c>
      <c r="B129" s="44">
        <v>0</v>
      </c>
      <c r="C129" s="44">
        <v>1</v>
      </c>
    </row>
    <row r="130" spans="1:3" x14ac:dyDescent="0.2">
      <c r="A130" s="44" t="s">
        <v>31</v>
      </c>
      <c r="B130" s="44">
        <v>0</v>
      </c>
      <c r="C130" s="44">
        <v>2</v>
      </c>
    </row>
    <row r="131" spans="1:3" x14ac:dyDescent="0.2">
      <c r="A131" s="44" t="s">
        <v>260</v>
      </c>
      <c r="B131" s="44">
        <v>0</v>
      </c>
      <c r="C131" s="44">
        <v>1</v>
      </c>
    </row>
    <row r="132" spans="1:3" x14ac:dyDescent="0.2">
      <c r="A132" s="44" t="s">
        <v>261</v>
      </c>
      <c r="B132" s="590">
        <f>B124</f>
        <v>0</v>
      </c>
      <c r="C132" s="591"/>
    </row>
    <row r="133" spans="1:3" x14ac:dyDescent="0.2">
      <c r="A133" s="44" t="s">
        <v>261</v>
      </c>
      <c r="B133" s="592">
        <v>0</v>
      </c>
      <c r="C133" s="591" t="s">
        <v>267</v>
      </c>
    </row>
    <row r="134" spans="1:3" x14ac:dyDescent="0.2">
      <c r="A134" s="44" t="s">
        <v>262</v>
      </c>
      <c r="B134" s="590">
        <f>B124</f>
        <v>0</v>
      </c>
      <c r="C134" s="591"/>
    </row>
    <row r="135" spans="1:3" x14ac:dyDescent="0.2">
      <c r="A135" s="44" t="s">
        <v>263</v>
      </c>
      <c r="B135" s="590">
        <f>B124</f>
        <v>0</v>
      </c>
      <c r="C135" s="591"/>
    </row>
    <row r="136" spans="1:3" x14ac:dyDescent="0.2">
      <c r="A136" s="44" t="s">
        <v>214</v>
      </c>
      <c r="B136" s="44">
        <v>0</v>
      </c>
      <c r="C136" s="44">
        <v>3</v>
      </c>
    </row>
    <row r="137" spans="1:3" x14ac:dyDescent="0.2">
      <c r="A137" s="44" t="s">
        <v>264</v>
      </c>
      <c r="B137" s="44">
        <v>0</v>
      </c>
      <c r="C137" s="44">
        <v>2</v>
      </c>
    </row>
    <row r="138" spans="1:3" x14ac:dyDescent="0.2">
      <c r="A138" s="44" t="s">
        <v>265</v>
      </c>
      <c r="B138" s="44">
        <v>0</v>
      </c>
      <c r="C138" s="44">
        <v>2</v>
      </c>
    </row>
    <row r="139" spans="1:3" x14ac:dyDescent="0.2">
      <c r="C139" s="591"/>
    </row>
    <row r="140" spans="1:3" ht="15" x14ac:dyDescent="0.2">
      <c r="A140" s="594" t="s">
        <v>271</v>
      </c>
    </row>
    <row r="141" spans="1:3" x14ac:dyDescent="0.2">
      <c r="A141" s="44" t="s">
        <v>210</v>
      </c>
      <c r="B141" s="589">
        <v>0</v>
      </c>
    </row>
    <row r="142" spans="1:3" x14ac:dyDescent="0.2">
      <c r="A142" s="44" t="s">
        <v>216</v>
      </c>
      <c r="B142" s="589">
        <v>0</v>
      </c>
      <c r="C142" s="591"/>
    </row>
    <row r="143" spans="1:3" x14ac:dyDescent="0.2">
      <c r="A143" s="44" t="s">
        <v>217</v>
      </c>
      <c r="B143" s="589">
        <v>0</v>
      </c>
    </row>
    <row r="144" spans="1:3" x14ac:dyDescent="0.2">
      <c r="A144" s="44" t="s">
        <v>211</v>
      </c>
      <c r="B144" s="590">
        <f>B141*B142+B141*B143+B141*2</f>
        <v>0</v>
      </c>
    </row>
    <row r="145" spans="1:5" x14ac:dyDescent="0.2">
      <c r="A145" s="44" t="s">
        <v>218</v>
      </c>
      <c r="B145" s="590">
        <f>B141</f>
        <v>0</v>
      </c>
      <c r="D145" s="595"/>
      <c r="E145" s="595"/>
    </row>
    <row r="146" spans="1:5" x14ac:dyDescent="0.2">
      <c r="A146" s="44" t="s">
        <v>219</v>
      </c>
      <c r="B146" s="590">
        <f>B141</f>
        <v>0</v>
      </c>
      <c r="D146" s="595"/>
      <c r="E146" s="595"/>
    </row>
    <row r="147" spans="1:5" x14ac:dyDescent="0.2">
      <c r="A147" s="44" t="s">
        <v>31</v>
      </c>
      <c r="B147" s="590">
        <f>(B141*B142)-B141</f>
        <v>0</v>
      </c>
    </row>
    <row r="148" spans="1:5" x14ac:dyDescent="0.2">
      <c r="A148" s="44" t="s">
        <v>220</v>
      </c>
      <c r="B148" s="590">
        <f>B141</f>
        <v>0</v>
      </c>
    </row>
    <row r="149" spans="1:5" x14ac:dyDescent="0.2">
      <c r="A149" s="44" t="s">
        <v>221</v>
      </c>
      <c r="B149" s="590">
        <f>B141</f>
        <v>0</v>
      </c>
    </row>
    <row r="150" spans="1:5" x14ac:dyDescent="0.2">
      <c r="A150" s="44" t="s">
        <v>239</v>
      </c>
      <c r="B150" s="590">
        <f>B141</f>
        <v>0</v>
      </c>
    </row>
    <row r="151" spans="1:5" x14ac:dyDescent="0.2">
      <c r="A151" s="591" t="s">
        <v>221</v>
      </c>
      <c r="B151" s="589"/>
    </row>
    <row r="152" spans="1:5" x14ac:dyDescent="0.2">
      <c r="A152" s="44" t="s">
        <v>277</v>
      </c>
      <c r="B152" s="590">
        <f>B141*(B142+B143)</f>
        <v>0</v>
      </c>
    </row>
    <row r="154" spans="1:5" ht="15" x14ac:dyDescent="0.2">
      <c r="A154" s="594" t="s">
        <v>223</v>
      </c>
    </row>
    <row r="155" spans="1:5" x14ac:dyDescent="0.2">
      <c r="A155" s="44" t="s">
        <v>210</v>
      </c>
      <c r="B155" s="589">
        <v>0</v>
      </c>
    </row>
    <row r="156" spans="1:5" x14ac:dyDescent="0.2">
      <c r="A156" s="44" t="s">
        <v>224</v>
      </c>
      <c r="B156" s="589">
        <v>0</v>
      </c>
    </row>
    <row r="157" spans="1:5" x14ac:dyDescent="0.2">
      <c r="A157" s="44" t="s">
        <v>211</v>
      </c>
      <c r="B157" s="590">
        <f>B155*(B156*1)+B155</f>
        <v>0</v>
      </c>
    </row>
    <row r="158" spans="1:5" x14ac:dyDescent="0.2">
      <c r="A158" s="44" t="s">
        <v>225</v>
      </c>
      <c r="B158" s="590">
        <f>B155</f>
        <v>0</v>
      </c>
    </row>
    <row r="159" spans="1:5" x14ac:dyDescent="0.2">
      <c r="A159" s="44" t="s">
        <v>256</v>
      </c>
      <c r="B159" s="590">
        <f>B155</f>
        <v>0</v>
      </c>
    </row>
    <row r="160" spans="1:5" x14ac:dyDescent="0.2">
      <c r="A160" s="44" t="s">
        <v>218</v>
      </c>
      <c r="B160" s="590">
        <f>B155</f>
        <v>0</v>
      </c>
    </row>
    <row r="161" spans="1:2" x14ac:dyDescent="0.2">
      <c r="A161" s="44" t="s">
        <v>226</v>
      </c>
      <c r="B161" s="590">
        <f>B155</f>
        <v>0</v>
      </c>
    </row>
    <row r="162" spans="1:2" x14ac:dyDescent="0.2">
      <c r="A162" s="44" t="s">
        <v>31</v>
      </c>
      <c r="B162" s="590">
        <f>B155*(B156-1)</f>
        <v>0</v>
      </c>
    </row>
    <row r="163" spans="1:2" x14ac:dyDescent="0.2">
      <c r="A163" s="591" t="s">
        <v>239</v>
      </c>
      <c r="B163" s="590">
        <f>B155</f>
        <v>0</v>
      </c>
    </row>
    <row r="164" spans="1:2" x14ac:dyDescent="0.2">
      <c r="A164" s="44" t="s">
        <v>221</v>
      </c>
      <c r="B164" s="590">
        <f>B155</f>
        <v>0</v>
      </c>
    </row>
    <row r="165" spans="1:2" x14ac:dyDescent="0.2">
      <c r="A165" s="44" t="s">
        <v>277</v>
      </c>
      <c r="B165" s="590">
        <f>B155*ROUNDDOWN(B156,0)</f>
        <v>0</v>
      </c>
    </row>
    <row r="166" spans="1:2" x14ac:dyDescent="0.2">
      <c r="A166" s="44" t="s">
        <v>240</v>
      </c>
      <c r="B166" s="44">
        <v>0</v>
      </c>
    </row>
    <row r="168" spans="1:2" x14ac:dyDescent="0.2">
      <c r="A168" s="588" t="s">
        <v>236</v>
      </c>
    </row>
    <row r="169" spans="1:2" x14ac:dyDescent="0.2">
      <c r="A169" s="44" t="s">
        <v>211</v>
      </c>
      <c r="B169" s="589">
        <v>0</v>
      </c>
    </row>
    <row r="170" spans="1:2" x14ac:dyDescent="0.2">
      <c r="A170" s="44" t="s">
        <v>218</v>
      </c>
      <c r="B170" s="589">
        <v>0</v>
      </c>
    </row>
    <row r="171" spans="1:2" x14ac:dyDescent="0.2">
      <c r="A171" s="44" t="s">
        <v>31</v>
      </c>
      <c r="B171" s="589">
        <v>0</v>
      </c>
    </row>
    <row r="172" spans="1:2" x14ac:dyDescent="0.2">
      <c r="A172" s="44" t="s">
        <v>248</v>
      </c>
      <c r="B172" s="589">
        <v>0</v>
      </c>
    </row>
    <row r="173" spans="1:2" x14ac:dyDescent="0.2">
      <c r="A173" s="44" t="s">
        <v>200</v>
      </c>
      <c r="B173" s="589">
        <v>0</v>
      </c>
    </row>
    <row r="174" spans="1:2" x14ac:dyDescent="0.2">
      <c r="A174" s="44" t="s">
        <v>237</v>
      </c>
      <c r="B174" s="589">
        <v>0</v>
      </c>
    </row>
    <row r="175" spans="1:2" x14ac:dyDescent="0.2">
      <c r="A175" s="591" t="s">
        <v>214</v>
      </c>
      <c r="B175" s="589">
        <v>0</v>
      </c>
    </row>
    <row r="176" spans="1:2" x14ac:dyDescent="0.2">
      <c r="A176" s="591" t="s">
        <v>239</v>
      </c>
      <c r="B176" s="589">
        <v>0</v>
      </c>
    </row>
    <row r="177" spans="1:7" x14ac:dyDescent="0.2">
      <c r="A177" s="591" t="s">
        <v>233</v>
      </c>
      <c r="B177" s="589">
        <v>0</v>
      </c>
    </row>
    <row r="178" spans="1:7" x14ac:dyDescent="0.2">
      <c r="A178" s="591" t="s">
        <v>227</v>
      </c>
      <c r="B178" s="589">
        <v>0</v>
      </c>
    </row>
    <row r="179" spans="1:7" ht="18" x14ac:dyDescent="0.2">
      <c r="A179" s="940" t="str">
        <f>A1</f>
        <v>Kalkulation Spinnerei Continous A</v>
      </c>
      <c r="B179" s="940"/>
      <c r="C179" s="940"/>
      <c r="D179" s="940"/>
      <c r="E179" s="940"/>
      <c r="F179" s="940"/>
      <c r="G179" s="940"/>
    </row>
    <row r="180" spans="1:7" x14ac:dyDescent="0.2">
      <c r="A180" s="588" t="str">
        <f>A2</f>
        <v>Projekt:</v>
      </c>
      <c r="B180" s="588" t="str">
        <f>B2</f>
        <v>Alpha Yarn Egypt 500537_10_0 FSA
Kein PC und keine Visualisierung. 
Textdisplay mit Störmeldungen ohne Grafik</v>
      </c>
      <c r="C180" s="588"/>
      <c r="D180" s="588"/>
    </row>
    <row r="182" spans="1:7" ht="15" x14ac:dyDescent="0.2">
      <c r="A182" s="594" t="s">
        <v>228</v>
      </c>
    </row>
    <row r="183" spans="1:7" x14ac:dyDescent="0.2">
      <c r="A183" s="44" t="s">
        <v>211</v>
      </c>
      <c r="B183" s="590">
        <f>B6+B7+B8+B9+B23+B24+B25+B26+B40+B41+B42+B43+B57+B58+B59+B60+B74+B75+B76+B77+B91+B92+B93+B94+B108+B109+B110+B111+B125+B126+B127+B128+B144+B157+B159</f>
        <v>0</v>
      </c>
    </row>
    <row r="184" spans="1:7" x14ac:dyDescent="0.2">
      <c r="A184" s="44" t="s">
        <v>225</v>
      </c>
      <c r="B184" s="590">
        <f>B158</f>
        <v>0</v>
      </c>
    </row>
    <row r="185" spans="1:7" x14ac:dyDescent="0.2">
      <c r="A185" s="44" t="s">
        <v>212</v>
      </c>
      <c r="B185" s="590">
        <f>B10+B27+B44+B61+B78+B95+B112+B129</f>
        <v>0</v>
      </c>
    </row>
    <row r="186" spans="1:7" x14ac:dyDescent="0.2">
      <c r="A186" s="44" t="s">
        <v>218</v>
      </c>
      <c r="B186" s="590">
        <f>B145+B160+B170</f>
        <v>0</v>
      </c>
    </row>
    <row r="187" spans="1:7" x14ac:dyDescent="0.2">
      <c r="A187" s="44" t="s">
        <v>219</v>
      </c>
      <c r="B187" s="590">
        <f>B146</f>
        <v>0</v>
      </c>
    </row>
    <row r="188" spans="1:7" x14ac:dyDescent="0.2">
      <c r="A188" s="44" t="s">
        <v>226</v>
      </c>
      <c r="B188" s="590">
        <f>B161</f>
        <v>0</v>
      </c>
    </row>
    <row r="189" spans="1:7" x14ac:dyDescent="0.2">
      <c r="A189" s="44" t="s">
        <v>31</v>
      </c>
      <c r="B189" s="590">
        <f>B11+B28+B45+B62+B79+B96+B113+B130+B147+B162+B171</f>
        <v>0</v>
      </c>
    </row>
    <row r="190" spans="1:7" x14ac:dyDescent="0.2">
      <c r="A190" s="44" t="s">
        <v>220</v>
      </c>
      <c r="B190" s="590">
        <f>B148</f>
        <v>0</v>
      </c>
    </row>
    <row r="191" spans="1:7" x14ac:dyDescent="0.2">
      <c r="A191" s="44" t="s">
        <v>237</v>
      </c>
      <c r="B191" s="590">
        <f>B174</f>
        <v>0</v>
      </c>
    </row>
    <row r="192" spans="1:7" x14ac:dyDescent="0.2">
      <c r="A192" s="44" t="s">
        <v>214</v>
      </c>
      <c r="B192" s="590">
        <f>B12+B15+B17+B18+B29+B32+B34+B35+B46+B49+B51+B52+B63+B66+B68+B69+B80+B83+B85+B86+B97+B100+B102+B103+B114+B117+B119+B120+B131+B134+B136+B137</f>
        <v>0</v>
      </c>
    </row>
    <row r="193" spans="1:2" x14ac:dyDescent="0.2">
      <c r="A193" s="44" t="s">
        <v>221</v>
      </c>
      <c r="B193" s="590">
        <f>B149+B151+B152+B164+B165</f>
        <v>0</v>
      </c>
    </row>
    <row r="194" spans="1:2" x14ac:dyDescent="0.2">
      <c r="A194" s="44" t="s">
        <v>239</v>
      </c>
      <c r="B194" s="590">
        <f>B13+B14+B16+B19+B30+B31+B33+B36+B47+B48+B50+B53+B64+B65+B67+B70+B81+B82+B84+B87+B98+B99+B101+B104+B115+B116+B118+B121+B132+B133+B135+B138+B150+B163</f>
        <v>0</v>
      </c>
    </row>
  </sheetData>
  <sheetProtection formatCells="0"/>
  <customSheetViews>
    <customSheetView guid="{3AE3C0CE-F6F6-4222-9052-F72F2FCDEDAE}" scale="85">
      <selection activeCell="E11" sqref="E11"/>
      <rowBreaks count="1" manualBreakCount="1">
        <brk id="177" max="16383" man="1"/>
      </rowBreaks>
      <pageMargins left="0.7" right="0.7" top="0.78740157499999996" bottom="0.78740157499999996" header="0.3" footer="0.3"/>
      <pageSetup paperSize="9" orientation="portrait" r:id="rId1"/>
    </customSheetView>
  </customSheetViews>
  <mergeCells count="6">
    <mergeCell ref="A179:G179"/>
    <mergeCell ref="B2:E2"/>
    <mergeCell ref="A1:C1"/>
    <mergeCell ref="F2:I2"/>
    <mergeCell ref="F3:I3"/>
    <mergeCell ref="F4:I4"/>
  </mergeCells>
  <pageMargins left="0.7" right="0.7" top="0.78740157499999996" bottom="0.78740157499999996" header="0.3" footer="0.3"/>
  <pageSetup paperSize="9" orientation="portrait" r:id="rId2"/>
  <rowBreaks count="1" manualBreakCount="1">
    <brk id="17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0"/>
  <dimension ref="A1:J41"/>
  <sheetViews>
    <sheetView topLeftCell="A2" workbookViewId="0">
      <selection activeCell="H22" sqref="H22"/>
    </sheetView>
  </sheetViews>
  <sheetFormatPr baseColWidth="10" defaultRowHeight="12.75" x14ac:dyDescent="0.2"/>
  <cols>
    <col min="1" max="1" width="18" customWidth="1"/>
    <col min="2" max="2" width="14.7109375" customWidth="1"/>
    <col min="5" max="5" width="13.28515625" customWidth="1"/>
    <col min="9" max="9" width="17" customWidth="1"/>
  </cols>
  <sheetData>
    <row r="1" spans="1:10" ht="15.75" x14ac:dyDescent="0.25">
      <c r="A1" s="951" t="s">
        <v>102</v>
      </c>
      <c r="B1" s="951"/>
      <c r="C1" s="951"/>
      <c r="D1" s="951"/>
      <c r="E1" s="951"/>
      <c r="F1" s="951"/>
    </row>
    <row r="2" spans="1:10" ht="13.5" thickBot="1" x14ac:dyDescent="0.25"/>
    <row r="3" spans="1:10" ht="15.75" x14ac:dyDescent="0.25">
      <c r="A3" s="955" t="s">
        <v>123</v>
      </c>
      <c r="B3" s="956"/>
      <c r="C3" s="505" t="s">
        <v>138</v>
      </c>
      <c r="D3" s="505"/>
      <c r="E3" s="506" t="s">
        <v>139</v>
      </c>
      <c r="F3" s="971" t="s">
        <v>140</v>
      </c>
      <c r="G3" s="972"/>
      <c r="H3" s="504"/>
    </row>
    <row r="4" spans="1:10" ht="15.75" x14ac:dyDescent="0.25">
      <c r="A4" s="957" t="str">
        <f>DECKBLATT!A4</f>
        <v>Alpha Yarn Egypt 500537_10_0 FSA
Kein PC und keine Visualisierung. 
Textdisplay mit Störmeldungen ohne Grafik</v>
      </c>
      <c r="B4" s="958"/>
      <c r="C4" s="961" t="str">
        <f>DECKBLATT!D4</f>
        <v>FA</v>
      </c>
      <c r="D4" s="943"/>
      <c r="E4" s="963">
        <f>DECKBLATT!E4</f>
        <v>44628</v>
      </c>
      <c r="F4" s="961" t="str">
        <f>DECKBLATT!F4</f>
        <v>Schellhammer</v>
      </c>
      <c r="G4" s="973"/>
      <c r="H4" s="504"/>
    </row>
    <row r="5" spans="1:10" ht="12.75" customHeight="1" thickBot="1" x14ac:dyDescent="0.25">
      <c r="A5" s="959"/>
      <c r="B5" s="960"/>
      <c r="C5" s="962"/>
      <c r="D5" s="944"/>
      <c r="E5" s="964"/>
      <c r="F5" s="962"/>
      <c r="G5" s="974"/>
    </row>
    <row r="6" spans="1:10" ht="12.75" customHeight="1" x14ac:dyDescent="0.2">
      <c r="A6" s="975"/>
      <c r="B6" s="975"/>
      <c r="C6" s="975"/>
      <c r="D6" s="975"/>
      <c r="E6" s="975"/>
      <c r="F6" s="975"/>
      <c r="G6" s="975"/>
    </row>
    <row r="7" spans="1:10" ht="18" x14ac:dyDescent="0.2">
      <c r="A7" s="976" t="s">
        <v>142</v>
      </c>
      <c r="B7" s="976"/>
      <c r="C7" s="976"/>
      <c r="D7" s="976"/>
      <c r="E7" s="976"/>
    </row>
    <row r="9" spans="1:10" ht="15.75" x14ac:dyDescent="0.25">
      <c r="A9" s="953" t="s">
        <v>143</v>
      </c>
      <c r="B9" s="954"/>
      <c r="C9" s="510">
        <v>400</v>
      </c>
      <c r="D9" s="952" t="s">
        <v>144</v>
      </c>
      <c r="E9" s="952"/>
      <c r="F9" s="952"/>
    </row>
    <row r="10" spans="1:10" ht="13.5" thickBot="1" x14ac:dyDescent="0.25"/>
    <row r="11" spans="1:10" ht="30" x14ac:dyDescent="0.2">
      <c r="A11" s="8" t="s">
        <v>145</v>
      </c>
      <c r="B11" s="9" t="s">
        <v>146</v>
      </c>
      <c r="C11" s="9" t="s">
        <v>147</v>
      </c>
      <c r="D11" s="9" t="s">
        <v>148</v>
      </c>
      <c r="E11" s="9" t="s">
        <v>149</v>
      </c>
      <c r="F11" s="10" t="s">
        <v>150</v>
      </c>
    </row>
    <row r="12" spans="1:10" ht="15" x14ac:dyDescent="0.2">
      <c r="A12" s="11" t="s">
        <v>151</v>
      </c>
      <c r="B12" s="549">
        <f>Mengengerüst!B172+Mengengerüst!B173+Mengengerüst!B174+Mengengerüst!B175+Mengengerüst!B176+Mengengerüst!B177+Mengengerüst!B178+'Gerüst CA'!B192+'Gerüst CA'!B193+'Gerüst CA'!B194</f>
        <v>19</v>
      </c>
      <c r="C12" s="12">
        <v>0.12</v>
      </c>
      <c r="D12" s="12">
        <v>0.55000000000000004</v>
      </c>
      <c r="E12" s="13">
        <f>SUM(B12*D12)</f>
        <v>10.450000000000001</v>
      </c>
      <c r="F12" s="464">
        <v>0.77</v>
      </c>
      <c r="G12" s="509"/>
      <c r="H12" s="43"/>
      <c r="I12" s="43"/>
    </row>
    <row r="13" spans="1:10" ht="13.5" thickBot="1" x14ac:dyDescent="0.25"/>
    <row r="14" spans="1:10" ht="15.75" thickBot="1" x14ac:dyDescent="0.25">
      <c r="C14" s="965" t="s">
        <v>152</v>
      </c>
      <c r="D14" s="966"/>
      <c r="E14" s="530">
        <v>3</v>
      </c>
      <c r="F14" s="14" t="s">
        <v>153</v>
      </c>
    </row>
    <row r="15" spans="1:10" ht="15" x14ac:dyDescent="0.2">
      <c r="C15" s="967" t="s">
        <v>154</v>
      </c>
      <c r="D15" s="968"/>
      <c r="E15" s="41">
        <f>E12+E14</f>
        <v>13.450000000000001</v>
      </c>
      <c r="F15" s="15" t="s">
        <v>153</v>
      </c>
    </row>
    <row r="16" spans="1:10" ht="15" x14ac:dyDescent="0.2">
      <c r="C16" s="16" t="s">
        <v>155</v>
      </c>
      <c r="D16" s="507">
        <v>0.5</v>
      </c>
      <c r="E16" s="17">
        <f>E12*D16+E14</f>
        <v>8.2250000000000014</v>
      </c>
      <c r="F16" s="15" t="s">
        <v>153</v>
      </c>
      <c r="G16" s="509"/>
      <c r="H16" s="43"/>
      <c r="I16" s="43"/>
      <c r="J16" s="43"/>
    </row>
    <row r="17" spans="1:10" ht="15.75" thickBot="1" x14ac:dyDescent="0.25">
      <c r="C17" s="18" t="s">
        <v>156</v>
      </c>
      <c r="D17" s="508">
        <v>0.1</v>
      </c>
      <c r="E17" s="19">
        <f>E16*D17</f>
        <v>0.82250000000000023</v>
      </c>
      <c r="F17" s="15" t="s">
        <v>153</v>
      </c>
      <c r="G17" s="509"/>
      <c r="H17" s="43"/>
      <c r="I17" s="43"/>
      <c r="J17" s="43"/>
    </row>
    <row r="18" spans="1:10" ht="15.75" thickBot="1" x14ac:dyDescent="0.25">
      <c r="C18" s="969" t="s">
        <v>157</v>
      </c>
      <c r="D18" s="970"/>
      <c r="E18" s="20">
        <f>E16+E17</f>
        <v>9.0475000000000012</v>
      </c>
      <c r="F18" s="21" t="s">
        <v>153</v>
      </c>
    </row>
    <row r="19" spans="1:10" ht="15.75" thickBot="1" x14ac:dyDescent="0.25">
      <c r="C19" s="39"/>
      <c r="D19" s="39"/>
      <c r="E19" s="40"/>
      <c r="F19" s="21"/>
    </row>
    <row r="20" spans="1:10" ht="15" x14ac:dyDescent="0.2">
      <c r="A20" s="22" t="s">
        <v>158</v>
      </c>
      <c r="B20" s="23" t="s">
        <v>159</v>
      </c>
      <c r="C20" s="23" t="s">
        <v>160</v>
      </c>
      <c r="D20" s="24" t="s">
        <v>161</v>
      </c>
    </row>
    <row r="21" spans="1:10" ht="15" x14ac:dyDescent="0.2">
      <c r="A21" s="25" t="s">
        <v>162</v>
      </c>
      <c r="B21" s="26" t="s">
        <v>163</v>
      </c>
      <c r="C21" s="27"/>
      <c r="D21" s="28" t="s">
        <v>164</v>
      </c>
    </row>
    <row r="22" spans="1:10" ht="15.75" thickBot="1" x14ac:dyDescent="0.25">
      <c r="A22" s="29">
        <f>C9</f>
        <v>400</v>
      </c>
      <c r="B22" s="30">
        <f>E18</f>
        <v>9.0475000000000012</v>
      </c>
      <c r="C22" s="465">
        <v>1.732</v>
      </c>
      <c r="D22" s="31">
        <f>A22*B22*C22/1000</f>
        <v>6.2681080000000007</v>
      </c>
    </row>
    <row r="23" spans="1:10" ht="15.75" thickBot="1" x14ac:dyDescent="0.25">
      <c r="A23" s="15"/>
      <c r="B23" s="15"/>
      <c r="C23" s="15"/>
      <c r="D23" s="15"/>
      <c r="E23" s="15"/>
    </row>
    <row r="24" spans="1:10" ht="15.75" thickBot="1" x14ac:dyDescent="0.25">
      <c r="A24" s="32" t="s">
        <v>165</v>
      </c>
      <c r="B24" s="33"/>
      <c r="C24" s="33"/>
      <c r="D24" s="34">
        <f>ROUNDUP(D22,0)</f>
        <v>7</v>
      </c>
      <c r="E24" s="35" t="s">
        <v>469</v>
      </c>
    </row>
    <row r="26" spans="1:10" ht="15.75" thickBot="1" x14ac:dyDescent="0.25">
      <c r="A26" s="36" t="s">
        <v>166</v>
      </c>
      <c r="B26" s="36"/>
      <c r="C26" s="36"/>
      <c r="D26" s="36"/>
      <c r="E26" s="36"/>
      <c r="F26" s="36"/>
      <c r="G26" s="36"/>
      <c r="H26" s="36"/>
      <c r="I26" s="36"/>
      <c r="J26" s="36"/>
    </row>
    <row r="27" spans="1:10" ht="15" x14ac:dyDescent="0.2">
      <c r="A27" s="949" t="s">
        <v>167</v>
      </c>
      <c r="B27" s="950"/>
      <c r="C27" s="511" t="s">
        <v>73</v>
      </c>
      <c r="D27" s="512" t="s">
        <v>168</v>
      </c>
      <c r="E27" s="511" t="s">
        <v>169</v>
      </c>
      <c r="F27" s="511" t="s">
        <v>170</v>
      </c>
      <c r="G27" s="513" t="s">
        <v>171</v>
      </c>
      <c r="H27" s="36"/>
      <c r="I27" s="36"/>
      <c r="J27" s="36"/>
    </row>
    <row r="28" spans="1:10" ht="15" x14ac:dyDescent="0.2">
      <c r="A28" s="945" t="s">
        <v>172</v>
      </c>
      <c r="B28" s="946"/>
      <c r="C28" s="550">
        <v>705000003</v>
      </c>
      <c r="D28" s="37" t="s">
        <v>173</v>
      </c>
      <c r="E28" s="37" t="s">
        <v>174</v>
      </c>
      <c r="F28" s="37" t="s">
        <v>175</v>
      </c>
      <c r="G28" s="514">
        <v>130</v>
      </c>
      <c r="H28" s="36"/>
      <c r="I28" s="36"/>
      <c r="J28" s="36"/>
    </row>
    <row r="29" spans="1:10" ht="15" x14ac:dyDescent="0.2">
      <c r="A29" s="945" t="s">
        <v>176</v>
      </c>
      <c r="B29" s="946"/>
      <c r="C29" s="551">
        <v>705000004</v>
      </c>
      <c r="D29" s="37" t="s">
        <v>177</v>
      </c>
      <c r="E29" s="37" t="s">
        <v>178</v>
      </c>
      <c r="F29" s="37" t="s">
        <v>179</v>
      </c>
      <c r="G29" s="514">
        <v>150</v>
      </c>
      <c r="H29" s="36"/>
      <c r="I29" s="36"/>
      <c r="J29" s="36"/>
    </row>
    <row r="30" spans="1:10" ht="15.75" thickBot="1" x14ac:dyDescent="0.25">
      <c r="A30" s="947" t="s">
        <v>180</v>
      </c>
      <c r="B30" s="948"/>
      <c r="C30" s="552">
        <v>705000005</v>
      </c>
      <c r="D30" s="515" t="s">
        <v>181</v>
      </c>
      <c r="E30" s="515" t="s">
        <v>178</v>
      </c>
      <c r="F30" s="515" t="s">
        <v>182</v>
      </c>
      <c r="G30" s="516">
        <v>235</v>
      </c>
      <c r="H30" s="36"/>
      <c r="I30" s="36"/>
      <c r="J30" s="36"/>
    </row>
    <row r="31" spans="1:10" ht="15.75" thickBot="1" x14ac:dyDescent="0.25">
      <c r="A31" s="36"/>
      <c r="B31" s="36"/>
      <c r="C31" s="36"/>
      <c r="D31" s="36"/>
      <c r="E31" s="36"/>
      <c r="F31" s="36"/>
      <c r="G31" s="36"/>
      <c r="H31" s="36"/>
      <c r="I31" s="36"/>
      <c r="J31" s="36"/>
    </row>
    <row r="32" spans="1:10" ht="15" x14ac:dyDescent="0.2">
      <c r="A32" s="519" t="s">
        <v>183</v>
      </c>
      <c r="B32" s="512"/>
      <c r="C32" s="512"/>
      <c r="D32" s="512"/>
      <c r="E32" s="512"/>
      <c r="F32" s="512"/>
      <c r="G32" s="512"/>
      <c r="H32" s="512"/>
      <c r="I32" s="520"/>
      <c r="J32" s="36"/>
    </row>
    <row r="33" spans="1:10" ht="15" x14ac:dyDescent="0.2">
      <c r="A33" s="945" t="s">
        <v>167</v>
      </c>
      <c r="B33" s="946"/>
      <c r="C33" s="37" t="s">
        <v>73</v>
      </c>
      <c r="D33" s="37" t="s">
        <v>125</v>
      </c>
      <c r="E33" s="37" t="s">
        <v>169</v>
      </c>
      <c r="F33" s="37" t="s">
        <v>184</v>
      </c>
      <c r="G33" s="37" t="s">
        <v>171</v>
      </c>
      <c r="H33" s="38" t="s">
        <v>185</v>
      </c>
      <c r="I33" s="521"/>
      <c r="J33" s="36"/>
    </row>
    <row r="34" spans="1:10" ht="15" x14ac:dyDescent="0.2">
      <c r="A34" s="522" t="s">
        <v>186</v>
      </c>
      <c r="B34" s="517"/>
      <c r="C34" s="551">
        <v>703001070</v>
      </c>
      <c r="D34" s="37" t="s">
        <v>187</v>
      </c>
      <c r="E34" s="37" t="s">
        <v>188</v>
      </c>
      <c r="F34" s="37" t="s">
        <v>189</v>
      </c>
      <c r="G34" s="518">
        <v>63</v>
      </c>
      <c r="H34" s="518">
        <v>65</v>
      </c>
      <c r="I34" s="521" t="s">
        <v>197</v>
      </c>
      <c r="J34" s="36"/>
    </row>
    <row r="35" spans="1:10" ht="15.75" thickBot="1" x14ac:dyDescent="0.25">
      <c r="A35" s="947" t="s">
        <v>190</v>
      </c>
      <c r="B35" s="948"/>
      <c r="C35" s="552">
        <v>703001075</v>
      </c>
      <c r="D35" s="515" t="s">
        <v>187</v>
      </c>
      <c r="E35" s="515" t="s">
        <v>188</v>
      </c>
      <c r="F35" s="515" t="s">
        <v>189</v>
      </c>
      <c r="G35" s="523">
        <v>63</v>
      </c>
      <c r="H35" s="523">
        <v>65</v>
      </c>
      <c r="I35" s="524" t="s">
        <v>198</v>
      </c>
      <c r="J35" s="36"/>
    </row>
    <row r="36" spans="1:10" ht="13.5" thickBot="1" x14ac:dyDescent="0.25"/>
    <row r="37" spans="1:10" ht="15" x14ac:dyDescent="0.2">
      <c r="A37" s="949" t="s">
        <v>191</v>
      </c>
      <c r="B37" s="950"/>
      <c r="C37" s="525"/>
      <c r="D37" s="526"/>
    </row>
    <row r="38" spans="1:10" ht="15" x14ac:dyDescent="0.2">
      <c r="A38" s="945" t="s">
        <v>192</v>
      </c>
      <c r="B38" s="946"/>
      <c r="C38" s="517"/>
      <c r="D38" s="527"/>
    </row>
    <row r="39" spans="1:10" ht="15" x14ac:dyDescent="0.2">
      <c r="A39" s="945" t="s">
        <v>31</v>
      </c>
      <c r="B39" s="946"/>
      <c r="C39" s="517"/>
      <c r="D39" s="527"/>
    </row>
    <row r="40" spans="1:10" ht="15" x14ac:dyDescent="0.2">
      <c r="A40" s="945" t="s">
        <v>193</v>
      </c>
      <c r="B40" s="946"/>
      <c r="C40" s="517"/>
      <c r="D40" s="527"/>
    </row>
    <row r="41" spans="1:10" ht="15.75" thickBot="1" x14ac:dyDescent="0.25">
      <c r="A41" s="947" t="s">
        <v>194</v>
      </c>
      <c r="B41" s="948"/>
      <c r="C41" s="528"/>
      <c r="D41" s="529"/>
    </row>
  </sheetData>
  <sheetProtection formatCells="0"/>
  <customSheetViews>
    <customSheetView guid="{3AE3C0CE-F6F6-4222-9052-F72F2FCDEDAE}">
      <selection activeCell="B11" sqref="B11"/>
      <pageMargins left="0.7" right="0.7" top="0.78740157499999996" bottom="0.78740157499999996" header="0.3" footer="0.3"/>
      <pageSetup paperSize="9" orientation="portrait" r:id="rId1"/>
    </customSheetView>
  </customSheetViews>
  <mergeCells count="26">
    <mergeCell ref="A1:F1"/>
    <mergeCell ref="D9:F9"/>
    <mergeCell ref="A9:B9"/>
    <mergeCell ref="A27:B27"/>
    <mergeCell ref="A28:B28"/>
    <mergeCell ref="A3:B3"/>
    <mergeCell ref="A4:B5"/>
    <mergeCell ref="C4:C5"/>
    <mergeCell ref="E4:E5"/>
    <mergeCell ref="C14:D14"/>
    <mergeCell ref="C15:D15"/>
    <mergeCell ref="C18:D18"/>
    <mergeCell ref="F3:G3"/>
    <mergeCell ref="F4:G5"/>
    <mergeCell ref="A6:G6"/>
    <mergeCell ref="A7:E7"/>
    <mergeCell ref="D4:D5"/>
    <mergeCell ref="A38:B38"/>
    <mergeCell ref="A39:B39"/>
    <mergeCell ref="A40:B40"/>
    <mergeCell ref="A41:B41"/>
    <mergeCell ref="A29:B29"/>
    <mergeCell ref="A30:B30"/>
    <mergeCell ref="A33:B33"/>
    <mergeCell ref="A35:B35"/>
    <mergeCell ref="A37:B37"/>
  </mergeCells>
  <pageMargins left="0.7" right="0.7" top="0.78740157499999996" bottom="0.78740157499999996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1</vt:i4>
      </vt:variant>
    </vt:vector>
  </HeadingPairs>
  <TitlesOfParts>
    <vt:vector size="9" baseType="lpstr">
      <vt:lpstr>DECKBLATT</vt:lpstr>
      <vt:lpstr>Mengengerüst</vt:lpstr>
      <vt:lpstr>HW</vt:lpstr>
      <vt:lpstr>EAs</vt:lpstr>
      <vt:lpstr>DL</vt:lpstr>
      <vt:lpstr>EMO</vt:lpstr>
      <vt:lpstr>Gerüst CA</vt:lpstr>
      <vt:lpstr>Anschlußl.</vt:lpstr>
      <vt:lpstr>EAs!Drucktitel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Marcus Schellhammer</dc:creator>
  <cp:lastModifiedBy>Simon Schmutzler</cp:lastModifiedBy>
  <cp:lastPrinted>2022-02-23T10:08:18Z</cp:lastPrinted>
  <dcterms:created xsi:type="dcterms:W3CDTF">1999-05-25T14:41:14Z</dcterms:created>
  <dcterms:modified xsi:type="dcterms:W3CDTF">2022-03-23T09:37:07Z</dcterms:modified>
</cp:coreProperties>
</file>