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e.erk\Desktop\"/>
    </mc:Choice>
  </mc:AlternateContent>
  <xr:revisionPtr revIDLastSave="0" documentId="13_ncr:1_{1BE59AC9-1862-4B42-B997-26911E52C7F5}" xr6:coauthVersionLast="46" xr6:coauthVersionMax="46" xr10:uidLastSave="{00000000-0000-0000-0000-000000000000}"/>
  <bookViews>
    <workbookView xWindow="28680" yWindow="-120" windowWidth="25440" windowHeight="15390" tabRatio="778" xr2:uid="{00000000-000D-0000-FFFF-FFFF00000000}"/>
  </bookViews>
  <sheets>
    <sheet name="Übersicht" sheetId="1" r:id="rId1"/>
    <sheet name="AP und Sort" sheetId="2" r:id="rId2"/>
    <sheet name="Puffer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22" r:id="rId14"/>
    <sheet name="14" sheetId="23" r:id="rId15"/>
    <sheet name="15" sheetId="24" r:id="rId16"/>
    <sheet name="16" sheetId="25" r:id="rId17"/>
    <sheet name="17" sheetId="26" r:id="rId18"/>
    <sheet name="18" sheetId="27" r:id="rId19"/>
    <sheet name="19" sheetId="28" r:id="rId20"/>
    <sheet name="20" sheetId="29" r:id="rId21"/>
    <sheet name="21" sheetId="30" r:id="rId22"/>
    <sheet name="22" sheetId="31" r:id="rId23"/>
    <sheet name="23" sheetId="32" r:id="rId24"/>
    <sheet name="24" sheetId="33" r:id="rId25"/>
    <sheet name="25" sheetId="34" r:id="rId26"/>
    <sheet name="Taschen" sheetId="35" r:id="rId27"/>
    <sheet name="Steuerg" sheetId="14" r:id="rId28"/>
    <sheet name="Stahlbau" sheetId="15" r:id="rId29"/>
    <sheet name="BaaN" sheetId="16" r:id="rId30"/>
    <sheet name="Tabellen" sheetId="17" r:id="rId31"/>
    <sheet name="Mengen" sheetId="20" r:id="rId32"/>
    <sheet name="Steurg fremd" sheetId="21" r:id="rId33"/>
  </sheets>
  <definedNames>
    <definedName name="_xlnm.Print_Area" localSheetId="10">'10'!$A$1:$N$43</definedName>
    <definedName name="_xlnm.Print_Area" localSheetId="11">'11'!$A$1:$N$43</definedName>
    <definedName name="_xlnm.Print_Area" localSheetId="12">'12'!$A$1:$N$43</definedName>
    <definedName name="_xlnm.Print_Area" localSheetId="13">'13'!$A$1:$N$43</definedName>
    <definedName name="_xlnm.Print_Area" localSheetId="14">'14'!$A$1:$N$43</definedName>
    <definedName name="_xlnm.Print_Area" localSheetId="15">'15'!$A$1:$N$43</definedName>
    <definedName name="_xlnm.Print_Area" localSheetId="16">'16'!$A$1:$N$43</definedName>
    <definedName name="_xlnm.Print_Area" localSheetId="17">'17'!$A$1:$N$43</definedName>
    <definedName name="_xlnm.Print_Area" localSheetId="18">'18'!$A$1:$N$43</definedName>
    <definedName name="_xlnm.Print_Area" localSheetId="19">'19'!$A$1:$N$43</definedName>
    <definedName name="_xlnm.Print_Area" localSheetId="20">'20'!$A$1:$N$43</definedName>
    <definedName name="_xlnm.Print_Area" localSheetId="21">'21'!$A$1:$N$43</definedName>
    <definedName name="_xlnm.Print_Area" localSheetId="22">'22'!$A$1:$N$43</definedName>
    <definedName name="_xlnm.Print_Area" localSheetId="23">'23'!$A$1:$N$43</definedName>
    <definedName name="_xlnm.Print_Area" localSheetId="24">'24'!$A$1:$N$43</definedName>
    <definedName name="_xlnm.Print_Area" localSheetId="25">'25'!$A$1:$N$43</definedName>
    <definedName name="_xlnm.Print_Area" localSheetId="3">'3'!$A$1:$N$43</definedName>
    <definedName name="_xlnm.Print_Area" localSheetId="4">'4'!$A$1:$N$43</definedName>
    <definedName name="_xlnm.Print_Area" localSheetId="5">'5'!$A$1:$N$43</definedName>
    <definedName name="_xlnm.Print_Area" localSheetId="6">'6'!$A$1:$N$43</definedName>
    <definedName name="_xlnm.Print_Area" localSheetId="7">'7'!$A$1:$N$43</definedName>
    <definedName name="_xlnm.Print_Area" localSheetId="8">'8'!$A$1:$N$43</definedName>
    <definedName name="_xlnm.Print_Area" localSheetId="9">'9'!$A$1:$N$43</definedName>
    <definedName name="_xlnm.Print_Area" localSheetId="1">'AP und Sort'!$A$1:$N$43</definedName>
    <definedName name="_xlnm.Print_Area" localSheetId="29">BaaN!$A$2:$H$27</definedName>
    <definedName name="_xlnm.Print_Area" localSheetId="31">Mengen!$A$1:$J$16</definedName>
    <definedName name="_xlnm.Print_Area" localSheetId="2">Puffer!$A$1:$N$43</definedName>
    <definedName name="_xlnm.Print_Area" localSheetId="28">Stahlbau!#REF!</definedName>
    <definedName name="_xlnm.Print_Area" localSheetId="27">Steuerg!$A$3:$E$3</definedName>
    <definedName name="_xlnm.Print_Area" localSheetId="32">'Steurg fremd'!$A$5:$K$37</definedName>
    <definedName name="_xlnm.Print_Area" localSheetId="30">Tabellen!#REF!</definedName>
    <definedName name="_xlnm.Print_Area" localSheetId="26">Taschen!$A$1:$J$18</definedName>
    <definedName name="_xlnm.Print_Area" localSheetId="0">Übersicht!$A$1:$N$104</definedName>
  </definedNames>
  <calcPr calcId="181029"/>
</workbook>
</file>

<file path=xl/calcChain.xml><?xml version="1.0" encoding="utf-8"?>
<calcChain xmlns="http://schemas.openxmlformats.org/spreadsheetml/2006/main">
  <c r="I46" i="1" l="1"/>
  <c r="I47" i="1"/>
  <c r="B8" i="1"/>
  <c r="T14" i="4"/>
  <c r="U14" i="4"/>
  <c r="X14" i="4"/>
  <c r="D50" i="1"/>
  <c r="G50" i="1"/>
  <c r="I45" i="1" l="1"/>
  <c r="AA61" i="17" l="1"/>
  <c r="L8" i="15" l="1"/>
  <c r="N21" i="15" l="1"/>
  <c r="J21" i="15"/>
  <c r="P21" i="15"/>
  <c r="O21" i="15"/>
  <c r="O24" i="15"/>
  <c r="O10" i="15"/>
  <c r="E8" i="15"/>
  <c r="C61" i="20"/>
  <c r="C60" i="20"/>
  <c r="C59" i="20"/>
  <c r="AE66" i="17"/>
  <c r="AE65" i="17"/>
  <c r="Q21" i="15" l="1"/>
  <c r="R21" i="15"/>
  <c r="S21" i="15" s="1"/>
  <c r="K10" i="15"/>
  <c r="N8" i="15"/>
  <c r="T21" i="15" l="1"/>
  <c r="W66" i="14"/>
  <c r="O3" i="2"/>
  <c r="E35" i="15"/>
  <c r="C35" i="15"/>
  <c r="B35" i="15"/>
  <c r="E34" i="15"/>
  <c r="C34" i="15"/>
  <c r="B34" i="15"/>
  <c r="B36" i="15" l="1"/>
  <c r="E36" i="15"/>
  <c r="C36" i="15"/>
  <c r="T24" i="15"/>
  <c r="S25" i="15" s="1"/>
  <c r="N25" i="15"/>
  <c r="C13" i="15"/>
  <c r="C14" i="15" s="1"/>
  <c r="Q20" i="15"/>
  <c r="R20" i="15" s="1"/>
  <c r="T20" i="15" l="1"/>
  <c r="T22" i="15" s="1"/>
  <c r="S20" i="15"/>
  <c r="S22" i="15" s="1"/>
  <c r="N24" i="15" s="1"/>
  <c r="P24" i="15" s="1"/>
  <c r="R22" i="15"/>
  <c r="L25" i="15"/>
  <c r="N26" i="15" l="1"/>
  <c r="C41" i="20"/>
  <c r="C40" i="20"/>
  <c r="O43" i="14" l="1"/>
  <c r="O63" i="14" s="1"/>
  <c r="Z85" i="17"/>
  <c r="Z84" i="17"/>
  <c r="Z83" i="17"/>
  <c r="Z82" i="17"/>
  <c r="Z81" i="17"/>
  <c r="Z80" i="17"/>
  <c r="Z79" i="17"/>
  <c r="Z78" i="17"/>
  <c r="Z77" i="17"/>
  <c r="Z76" i="17"/>
  <c r="Z75" i="17"/>
  <c r="Y85" i="17"/>
  <c r="Y84" i="17"/>
  <c r="Y83" i="17"/>
  <c r="Y82" i="17"/>
  <c r="Y81" i="17"/>
  <c r="Y80" i="17"/>
  <c r="Y79" i="17"/>
  <c r="Y78" i="17"/>
  <c r="Y77" i="17"/>
  <c r="Y76" i="17"/>
  <c r="X85" i="17"/>
  <c r="X84" i="17"/>
  <c r="X83" i="17"/>
  <c r="X82" i="17"/>
  <c r="X81" i="17"/>
  <c r="X80" i="17"/>
  <c r="X79" i="17"/>
  <c r="X78" i="17"/>
  <c r="X77" i="17"/>
  <c r="X76" i="17"/>
  <c r="W85" i="17"/>
  <c r="W84" i="17"/>
  <c r="W83" i="17"/>
  <c r="W82" i="17"/>
  <c r="W81" i="17"/>
  <c r="W80" i="17"/>
  <c r="W79" i="17"/>
  <c r="W78" i="17"/>
  <c r="W77" i="17"/>
  <c r="W76" i="17"/>
  <c r="V85" i="17"/>
  <c r="V84" i="17"/>
  <c r="V83" i="17"/>
  <c r="V82" i="17"/>
  <c r="V81" i="17"/>
  <c r="V80" i="17"/>
  <c r="V79" i="17"/>
  <c r="V78" i="17"/>
  <c r="V77" i="17"/>
  <c r="V76" i="17"/>
  <c r="U85" i="17"/>
  <c r="U84" i="17"/>
  <c r="U83" i="17"/>
  <c r="U82" i="17"/>
  <c r="U81" i="17"/>
  <c r="U80" i="17"/>
  <c r="U79" i="17"/>
  <c r="U78" i="17"/>
  <c r="U77" i="17"/>
  <c r="U76" i="17"/>
  <c r="T85" i="17"/>
  <c r="T84" i="17"/>
  <c r="T83" i="17"/>
  <c r="T82" i="17"/>
  <c r="T81" i="17"/>
  <c r="T80" i="17"/>
  <c r="T79" i="17"/>
  <c r="T78" i="17"/>
  <c r="T77" i="17"/>
  <c r="T76" i="17"/>
  <c r="S85" i="17"/>
  <c r="S84" i="17"/>
  <c r="S83" i="17"/>
  <c r="S82" i="17"/>
  <c r="S81" i="17"/>
  <c r="S80" i="17"/>
  <c r="S79" i="17"/>
  <c r="S78" i="17"/>
  <c r="S77" i="17"/>
  <c r="S76" i="17"/>
  <c r="R85" i="17"/>
  <c r="R84" i="17"/>
  <c r="R83" i="17"/>
  <c r="R82" i="17"/>
  <c r="R81" i="17"/>
  <c r="R80" i="17"/>
  <c r="R79" i="17"/>
  <c r="R78" i="17"/>
  <c r="R77" i="17"/>
  <c r="R76" i="17"/>
  <c r="Q85" i="17"/>
  <c r="Q84" i="17"/>
  <c r="Q83" i="17"/>
  <c r="Q82" i="17"/>
  <c r="Q81" i="17"/>
  <c r="Q80" i="17"/>
  <c r="Q79" i="17"/>
  <c r="Q78" i="17"/>
  <c r="Q77" i="17"/>
  <c r="Q76" i="17"/>
  <c r="P85" i="17"/>
  <c r="P84" i="17"/>
  <c r="P83" i="17"/>
  <c r="P82" i="17"/>
  <c r="P81" i="17"/>
  <c r="P80" i="17"/>
  <c r="P79" i="17"/>
  <c r="P78" i="17"/>
  <c r="P77" i="17"/>
  <c r="P76" i="17"/>
  <c r="O85" i="17"/>
  <c r="O84" i="17"/>
  <c r="O83" i="17"/>
  <c r="O82" i="17"/>
  <c r="O81" i="17"/>
  <c r="O80" i="17"/>
  <c r="O79" i="17"/>
  <c r="O78" i="17"/>
  <c r="O77" i="17"/>
  <c r="O76" i="17"/>
  <c r="N85" i="17"/>
  <c r="N84" i="17"/>
  <c r="N83" i="17"/>
  <c r="N82" i="17"/>
  <c r="N81" i="17"/>
  <c r="N80" i="17"/>
  <c r="N79" i="17"/>
  <c r="N78" i="17"/>
  <c r="N77" i="17"/>
  <c r="N76" i="17"/>
  <c r="M85" i="17"/>
  <c r="M84" i="17"/>
  <c r="M83" i="17"/>
  <c r="M82" i="17"/>
  <c r="M81" i="17"/>
  <c r="M80" i="17"/>
  <c r="M79" i="17"/>
  <c r="M78" i="17"/>
  <c r="M77" i="17"/>
  <c r="M76" i="17"/>
  <c r="L85" i="17"/>
  <c r="L84" i="17"/>
  <c r="L83" i="17"/>
  <c r="L82" i="17"/>
  <c r="L81" i="17"/>
  <c r="L80" i="17"/>
  <c r="L79" i="17"/>
  <c r="L78" i="17"/>
  <c r="L77" i="17"/>
  <c r="L76" i="17"/>
  <c r="K85" i="17"/>
  <c r="K84" i="17"/>
  <c r="K83" i="17"/>
  <c r="K82" i="17"/>
  <c r="K81" i="17"/>
  <c r="K80" i="17"/>
  <c r="K79" i="17"/>
  <c r="K78" i="17"/>
  <c r="K77" i="17"/>
  <c r="K76" i="17"/>
  <c r="J85" i="17"/>
  <c r="J84" i="17"/>
  <c r="J83" i="17"/>
  <c r="J82" i="17"/>
  <c r="J81" i="17"/>
  <c r="J80" i="17"/>
  <c r="J79" i="17"/>
  <c r="J78" i="17"/>
  <c r="J77" i="17"/>
  <c r="J76" i="17"/>
  <c r="I85" i="17"/>
  <c r="I84" i="17"/>
  <c r="I83" i="17"/>
  <c r="I82" i="17"/>
  <c r="I81" i="17"/>
  <c r="I80" i="17"/>
  <c r="I79" i="17"/>
  <c r="I78" i="17"/>
  <c r="I77" i="17"/>
  <c r="I76" i="17"/>
  <c r="H85" i="17"/>
  <c r="H84" i="17"/>
  <c r="H83" i="17"/>
  <c r="H82" i="17"/>
  <c r="H81" i="17"/>
  <c r="H80" i="17"/>
  <c r="H79" i="17"/>
  <c r="H78" i="17"/>
  <c r="H77" i="17"/>
  <c r="H76" i="17"/>
  <c r="G85" i="17"/>
  <c r="G84" i="17"/>
  <c r="G83" i="17"/>
  <c r="G82" i="17"/>
  <c r="G81" i="17"/>
  <c r="G80" i="17"/>
  <c r="G79" i="17"/>
  <c r="G78" i="17"/>
  <c r="G77" i="17"/>
  <c r="G76" i="17"/>
  <c r="F85" i="17"/>
  <c r="F84" i="17"/>
  <c r="F83" i="17"/>
  <c r="F82" i="17"/>
  <c r="F81" i="17"/>
  <c r="F80" i="17"/>
  <c r="F79" i="17"/>
  <c r="F78" i="17"/>
  <c r="F77" i="17"/>
  <c r="F76" i="17"/>
  <c r="E85" i="17"/>
  <c r="E84" i="17"/>
  <c r="E83" i="17"/>
  <c r="E82" i="17"/>
  <c r="E81" i="17"/>
  <c r="E80" i="17"/>
  <c r="E79" i="17"/>
  <c r="E78" i="17"/>
  <c r="E77" i="17"/>
  <c r="E76" i="17"/>
  <c r="D85" i="17"/>
  <c r="D84" i="17"/>
  <c r="D83" i="17"/>
  <c r="D82" i="17"/>
  <c r="D81" i="17"/>
  <c r="D80" i="17"/>
  <c r="D79" i="17"/>
  <c r="D78" i="17"/>
  <c r="D77" i="17"/>
  <c r="D76" i="17"/>
  <c r="C85" i="17"/>
  <c r="C84" i="17"/>
  <c r="C83" i="17"/>
  <c r="C82" i="17"/>
  <c r="C81" i="17"/>
  <c r="C80" i="17"/>
  <c r="C79" i="17"/>
  <c r="C78" i="17"/>
  <c r="C77" i="17"/>
  <c r="C76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E75" i="17"/>
  <c r="D75" i="17"/>
  <c r="C75" i="17"/>
  <c r="B85" i="17"/>
  <c r="B84" i="17"/>
  <c r="B83" i="17"/>
  <c r="B82" i="17"/>
  <c r="B81" i="17"/>
  <c r="B80" i="17"/>
  <c r="B79" i="17"/>
  <c r="B78" i="17"/>
  <c r="B77" i="17"/>
  <c r="B76" i="17"/>
  <c r="B75" i="17"/>
  <c r="I42" i="2"/>
  <c r="V86" i="17" l="1"/>
  <c r="X86" i="17"/>
  <c r="J86" i="17"/>
  <c r="N86" i="17"/>
  <c r="R86" i="17"/>
  <c r="I86" i="17"/>
  <c r="K86" i="17"/>
  <c r="M86" i="17"/>
  <c r="H86" i="17"/>
  <c r="L86" i="17"/>
  <c r="P86" i="17"/>
  <c r="T86" i="17"/>
  <c r="Y86" i="17"/>
  <c r="O86" i="17"/>
  <c r="Q86" i="17"/>
  <c r="S86" i="17"/>
  <c r="U86" i="17"/>
  <c r="W86" i="17"/>
  <c r="C86" i="17"/>
  <c r="E86" i="17"/>
  <c r="G86" i="17"/>
  <c r="O25" i="15"/>
  <c r="P25" i="15" s="1"/>
  <c r="P26" i="15" s="1"/>
  <c r="O11" i="15"/>
  <c r="D86" i="17"/>
  <c r="Z86" i="17"/>
  <c r="AE59" i="17" l="1"/>
  <c r="AE58" i="17"/>
  <c r="G57" i="20" s="1"/>
  <c r="I57" i="20" s="1"/>
  <c r="AF58" i="17" l="1"/>
  <c r="Q32" i="14"/>
  <c r="Q34" i="14" s="1"/>
  <c r="P32" i="14"/>
  <c r="P34" i="14" s="1"/>
  <c r="P35" i="14" l="1"/>
  <c r="Q35" i="14"/>
  <c r="B30" i="20"/>
  <c r="F30" i="20" s="1"/>
  <c r="M30" i="20" s="1"/>
  <c r="B32" i="1" l="1"/>
  <c r="B12" i="35" s="1"/>
  <c r="Q12" i="35"/>
  <c r="V12" i="35" s="1"/>
  <c r="V9" i="35"/>
  <c r="V7" i="35"/>
  <c r="V6" i="35"/>
  <c r="T9" i="35"/>
  <c r="T7" i="35"/>
  <c r="T6" i="35"/>
  <c r="D42" i="35"/>
  <c r="D41" i="35"/>
  <c r="D40" i="35"/>
  <c r="D39" i="35"/>
  <c r="D38" i="35"/>
  <c r="B43" i="35"/>
  <c r="I28" i="35" s="1"/>
  <c r="D7" i="35" s="1"/>
  <c r="J1" i="35"/>
  <c r="F1" i="35"/>
  <c r="B1" i="35"/>
  <c r="O79" i="14"/>
  <c r="O80" i="14" s="1"/>
  <c r="E50" i="20"/>
  <c r="B26" i="15"/>
  <c r="B25" i="15"/>
  <c r="AA62" i="17"/>
  <c r="C79" i="14"/>
  <c r="C80" i="14" s="1"/>
  <c r="B41" i="20"/>
  <c r="B45" i="20"/>
  <c r="G49" i="1"/>
  <c r="G48" i="1"/>
  <c r="B35" i="20"/>
  <c r="B40" i="20"/>
  <c r="H40" i="20" s="1"/>
  <c r="I40" i="20" s="1"/>
  <c r="B15" i="20"/>
  <c r="E15" i="20" s="1"/>
  <c r="E50" i="1" s="1"/>
  <c r="B13" i="20"/>
  <c r="E13" i="20" s="1"/>
  <c r="E48" i="1" s="1"/>
  <c r="G7" i="15"/>
  <c r="K46" i="1"/>
  <c r="G21" i="20"/>
  <c r="G22" i="20" s="1"/>
  <c r="G23" i="20" s="1"/>
  <c r="G24" i="20" s="1"/>
  <c r="G25" i="20" s="1"/>
  <c r="G26" i="20" s="1"/>
  <c r="G27" i="20" s="1"/>
  <c r="G28" i="20" s="1"/>
  <c r="G29" i="20" s="1"/>
  <c r="G30" i="20" s="1"/>
  <c r="C19" i="15"/>
  <c r="C20" i="15" s="1"/>
  <c r="D18" i="15"/>
  <c r="D13" i="15"/>
  <c r="F67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A29" i="14"/>
  <c r="S29" i="14" s="1"/>
  <c r="A28" i="14"/>
  <c r="S28" i="14" s="1"/>
  <c r="A27" i="14"/>
  <c r="S27" i="14" s="1"/>
  <c r="A26" i="14"/>
  <c r="S26" i="14" s="1"/>
  <c r="A25" i="14"/>
  <c r="S25" i="14" s="1"/>
  <c r="A24" i="14"/>
  <c r="S24" i="14" s="1"/>
  <c r="A23" i="14"/>
  <c r="S23" i="14" s="1"/>
  <c r="A22" i="14"/>
  <c r="S22" i="14" s="1"/>
  <c r="A21" i="14"/>
  <c r="S21" i="14" s="1"/>
  <c r="A20" i="14"/>
  <c r="S20" i="14" s="1"/>
  <c r="A19" i="14"/>
  <c r="S19" i="14" s="1"/>
  <c r="A18" i="14"/>
  <c r="S18" i="14" s="1"/>
  <c r="A17" i="14"/>
  <c r="S17" i="14" s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I42" i="34"/>
  <c r="C41" i="34"/>
  <c r="L37" i="34"/>
  <c r="L32" i="34"/>
  <c r="E28" i="34"/>
  <c r="D28" i="34"/>
  <c r="H29" i="14" s="1"/>
  <c r="X26" i="34"/>
  <c r="W26" i="34"/>
  <c r="X25" i="34"/>
  <c r="W25" i="34"/>
  <c r="X24" i="34"/>
  <c r="W24" i="34"/>
  <c r="X23" i="34"/>
  <c r="W23" i="34"/>
  <c r="X22" i="34"/>
  <c r="W22" i="34"/>
  <c r="X21" i="34"/>
  <c r="W21" i="34"/>
  <c r="X20" i="34"/>
  <c r="W20" i="34"/>
  <c r="X19" i="34"/>
  <c r="W19" i="34"/>
  <c r="X18" i="34"/>
  <c r="W18" i="34"/>
  <c r="X17" i="34"/>
  <c r="W17" i="34"/>
  <c r="E15" i="34"/>
  <c r="T29" i="14" s="1"/>
  <c r="D15" i="34"/>
  <c r="B29" i="14" s="1"/>
  <c r="X13" i="34"/>
  <c r="W13" i="34"/>
  <c r="V13" i="34"/>
  <c r="U13" i="34"/>
  <c r="T13" i="34"/>
  <c r="X12" i="34"/>
  <c r="W12" i="34"/>
  <c r="V12" i="34"/>
  <c r="U12" i="34"/>
  <c r="T12" i="34"/>
  <c r="X11" i="34"/>
  <c r="W11" i="34"/>
  <c r="V11" i="34"/>
  <c r="U11" i="34"/>
  <c r="T11" i="34"/>
  <c r="X10" i="34"/>
  <c r="W10" i="34"/>
  <c r="V10" i="34"/>
  <c r="U10" i="34"/>
  <c r="T10" i="34"/>
  <c r="X9" i="34"/>
  <c r="W9" i="34"/>
  <c r="V9" i="34"/>
  <c r="U9" i="34"/>
  <c r="T9" i="34"/>
  <c r="X8" i="34"/>
  <c r="W8" i="34"/>
  <c r="V8" i="34"/>
  <c r="U8" i="34"/>
  <c r="T8" i="34"/>
  <c r="X7" i="34"/>
  <c r="W7" i="34"/>
  <c r="V7" i="34"/>
  <c r="U7" i="34"/>
  <c r="T7" i="34"/>
  <c r="X6" i="34"/>
  <c r="W6" i="34"/>
  <c r="V6" i="34"/>
  <c r="U6" i="34"/>
  <c r="T6" i="34"/>
  <c r="X5" i="34"/>
  <c r="W5" i="34"/>
  <c r="V5" i="34"/>
  <c r="U5" i="34"/>
  <c r="T5" i="34"/>
  <c r="X4" i="34"/>
  <c r="W4" i="34"/>
  <c r="V4" i="34"/>
  <c r="U4" i="34"/>
  <c r="T4" i="34"/>
  <c r="X3" i="34"/>
  <c r="W3" i="34"/>
  <c r="V3" i="34"/>
  <c r="U3" i="34"/>
  <c r="T3" i="34"/>
  <c r="O3" i="34"/>
  <c r="V2" i="34"/>
  <c r="N1" i="34"/>
  <c r="E1" i="34"/>
  <c r="B1" i="34"/>
  <c r="I42" i="33"/>
  <c r="C41" i="33"/>
  <c r="L37" i="33"/>
  <c r="L32" i="33"/>
  <c r="E28" i="33"/>
  <c r="D28" i="33"/>
  <c r="H28" i="14" s="1"/>
  <c r="X26" i="33"/>
  <c r="W26" i="33"/>
  <c r="X25" i="33"/>
  <c r="W25" i="33"/>
  <c r="X24" i="33"/>
  <c r="W24" i="33"/>
  <c r="X23" i="33"/>
  <c r="W23" i="33"/>
  <c r="X22" i="33"/>
  <c r="W22" i="33"/>
  <c r="X21" i="33"/>
  <c r="W21" i="33"/>
  <c r="X20" i="33"/>
  <c r="W20" i="33"/>
  <c r="X19" i="33"/>
  <c r="W19" i="33"/>
  <c r="X18" i="33"/>
  <c r="W18" i="33"/>
  <c r="X17" i="33"/>
  <c r="W17" i="33"/>
  <c r="E15" i="33"/>
  <c r="T28" i="14" s="1"/>
  <c r="D15" i="33"/>
  <c r="B28" i="14" s="1"/>
  <c r="X13" i="33"/>
  <c r="W13" i="33"/>
  <c r="V13" i="33"/>
  <c r="U13" i="33"/>
  <c r="T13" i="33"/>
  <c r="X12" i="33"/>
  <c r="W12" i="33"/>
  <c r="V12" i="33"/>
  <c r="U12" i="33"/>
  <c r="T12" i="33"/>
  <c r="X11" i="33"/>
  <c r="W11" i="33"/>
  <c r="V11" i="33"/>
  <c r="U11" i="33"/>
  <c r="T11" i="33"/>
  <c r="X10" i="33"/>
  <c r="W10" i="33"/>
  <c r="V10" i="33"/>
  <c r="U10" i="33"/>
  <c r="T10" i="33"/>
  <c r="X9" i="33"/>
  <c r="W9" i="33"/>
  <c r="V9" i="33"/>
  <c r="U9" i="33"/>
  <c r="T9" i="33"/>
  <c r="X8" i="33"/>
  <c r="W8" i="33"/>
  <c r="V8" i="33"/>
  <c r="U8" i="33"/>
  <c r="T8" i="33"/>
  <c r="X7" i="33"/>
  <c r="W7" i="33"/>
  <c r="V7" i="33"/>
  <c r="U7" i="33"/>
  <c r="T7" i="33"/>
  <c r="X6" i="33"/>
  <c r="W6" i="33"/>
  <c r="V6" i="33"/>
  <c r="U6" i="33"/>
  <c r="T6" i="33"/>
  <c r="X5" i="33"/>
  <c r="W5" i="33"/>
  <c r="V5" i="33"/>
  <c r="U5" i="33"/>
  <c r="T5" i="33"/>
  <c r="X4" i="33"/>
  <c r="W4" i="33"/>
  <c r="V4" i="33"/>
  <c r="U4" i="33"/>
  <c r="T4" i="33"/>
  <c r="X3" i="33"/>
  <c r="W3" i="33"/>
  <c r="V3" i="33"/>
  <c r="U3" i="33"/>
  <c r="T3" i="33"/>
  <c r="O3" i="33"/>
  <c r="V2" i="33"/>
  <c r="N1" i="33"/>
  <c r="E1" i="33"/>
  <c r="B1" i="33"/>
  <c r="I42" i="32"/>
  <c r="C41" i="32"/>
  <c r="L37" i="32"/>
  <c r="L32" i="32"/>
  <c r="E28" i="32"/>
  <c r="D28" i="32"/>
  <c r="H27" i="14" s="1"/>
  <c r="X26" i="32"/>
  <c r="W26" i="32"/>
  <c r="X25" i="32"/>
  <c r="W25" i="32"/>
  <c r="X24" i="32"/>
  <c r="W24" i="32"/>
  <c r="X23" i="32"/>
  <c r="W23" i="32"/>
  <c r="X22" i="32"/>
  <c r="W22" i="32"/>
  <c r="X21" i="32"/>
  <c r="W21" i="32"/>
  <c r="X20" i="32"/>
  <c r="W20" i="32"/>
  <c r="X19" i="32"/>
  <c r="W19" i="32"/>
  <c r="X18" i="32"/>
  <c r="W18" i="32"/>
  <c r="X17" i="32"/>
  <c r="W17" i="32"/>
  <c r="E15" i="32"/>
  <c r="T27" i="14" s="1"/>
  <c r="D15" i="32"/>
  <c r="B27" i="14" s="1"/>
  <c r="X13" i="32"/>
  <c r="W13" i="32"/>
  <c r="V13" i="32"/>
  <c r="U13" i="32"/>
  <c r="T13" i="32"/>
  <c r="X12" i="32"/>
  <c r="W12" i="32"/>
  <c r="V12" i="32"/>
  <c r="U12" i="32"/>
  <c r="T12" i="32"/>
  <c r="X11" i="32"/>
  <c r="W11" i="32"/>
  <c r="V11" i="32"/>
  <c r="U11" i="32"/>
  <c r="T11" i="32"/>
  <c r="X10" i="32"/>
  <c r="W10" i="32"/>
  <c r="V10" i="32"/>
  <c r="U10" i="32"/>
  <c r="T10" i="32"/>
  <c r="X9" i="32"/>
  <c r="W9" i="32"/>
  <c r="V9" i="32"/>
  <c r="U9" i="32"/>
  <c r="T9" i="32"/>
  <c r="X8" i="32"/>
  <c r="W8" i="32"/>
  <c r="V8" i="32"/>
  <c r="U8" i="32"/>
  <c r="T8" i="32"/>
  <c r="X7" i="32"/>
  <c r="W7" i="32"/>
  <c r="V7" i="32"/>
  <c r="U7" i="32"/>
  <c r="T7" i="32"/>
  <c r="X6" i="32"/>
  <c r="W6" i="32"/>
  <c r="V6" i="32"/>
  <c r="U6" i="32"/>
  <c r="T6" i="32"/>
  <c r="X5" i="32"/>
  <c r="W5" i="32"/>
  <c r="V5" i="32"/>
  <c r="U5" i="32"/>
  <c r="T5" i="32"/>
  <c r="X4" i="32"/>
  <c r="W4" i="32"/>
  <c r="V4" i="32"/>
  <c r="U4" i="32"/>
  <c r="T4" i="32"/>
  <c r="X3" i="32"/>
  <c r="W3" i="32"/>
  <c r="V3" i="32"/>
  <c r="U3" i="32"/>
  <c r="T3" i="32"/>
  <c r="O3" i="32"/>
  <c r="V2" i="32"/>
  <c r="N1" i="32"/>
  <c r="E1" i="32"/>
  <c r="B1" i="32"/>
  <c r="I42" i="31"/>
  <c r="C41" i="31"/>
  <c r="L37" i="31"/>
  <c r="L32" i="31"/>
  <c r="E28" i="31"/>
  <c r="D28" i="31"/>
  <c r="H26" i="14" s="1"/>
  <c r="X26" i="31"/>
  <c r="W26" i="31"/>
  <c r="X25" i="31"/>
  <c r="W25" i="31"/>
  <c r="X24" i="31"/>
  <c r="W24" i="31"/>
  <c r="X23" i="31"/>
  <c r="W23" i="31"/>
  <c r="X22" i="31"/>
  <c r="W22" i="31"/>
  <c r="X21" i="31"/>
  <c r="W21" i="31"/>
  <c r="X20" i="31"/>
  <c r="W20" i="31"/>
  <c r="X19" i="31"/>
  <c r="W19" i="31"/>
  <c r="X18" i="31"/>
  <c r="W18" i="31"/>
  <c r="X17" i="31"/>
  <c r="W17" i="31"/>
  <c r="E15" i="31"/>
  <c r="T26" i="14" s="1"/>
  <c r="D15" i="31"/>
  <c r="C26" i="14"/>
  <c r="X13" i="31"/>
  <c r="W13" i="31"/>
  <c r="V13" i="31"/>
  <c r="U13" i="31"/>
  <c r="T13" i="31"/>
  <c r="X12" i="31"/>
  <c r="W12" i="31"/>
  <c r="V12" i="31"/>
  <c r="U12" i="31"/>
  <c r="T12" i="31"/>
  <c r="X11" i="31"/>
  <c r="W11" i="31"/>
  <c r="V11" i="31"/>
  <c r="U11" i="31"/>
  <c r="T11" i="31"/>
  <c r="X10" i="31"/>
  <c r="W10" i="31"/>
  <c r="V10" i="31"/>
  <c r="U10" i="31"/>
  <c r="T10" i="31"/>
  <c r="X9" i="31"/>
  <c r="W9" i="31"/>
  <c r="V9" i="31"/>
  <c r="U9" i="31"/>
  <c r="T9" i="31"/>
  <c r="X8" i="31"/>
  <c r="W8" i="31"/>
  <c r="V8" i="31"/>
  <c r="U8" i="31"/>
  <c r="T8" i="31"/>
  <c r="X7" i="31"/>
  <c r="W7" i="31"/>
  <c r="V7" i="31"/>
  <c r="U7" i="31"/>
  <c r="T7" i="31"/>
  <c r="X6" i="31"/>
  <c r="W6" i="31"/>
  <c r="V6" i="31"/>
  <c r="U6" i="31"/>
  <c r="T6" i="31"/>
  <c r="X5" i="31"/>
  <c r="W5" i="31"/>
  <c r="V5" i="31"/>
  <c r="U5" i="31"/>
  <c r="T5" i="31"/>
  <c r="X4" i="31"/>
  <c r="J15" i="31" s="1"/>
  <c r="W4" i="31"/>
  <c r="V4" i="31"/>
  <c r="U4" i="31"/>
  <c r="T4" i="31"/>
  <c r="X3" i="31"/>
  <c r="W3" i="31"/>
  <c r="V3" i="31"/>
  <c r="U3" i="31"/>
  <c r="T3" i="31"/>
  <c r="O3" i="31"/>
  <c r="V2" i="31"/>
  <c r="N1" i="31"/>
  <c r="E1" i="31"/>
  <c r="B1" i="31"/>
  <c r="I42" i="30"/>
  <c r="C41" i="30"/>
  <c r="L37" i="30"/>
  <c r="L32" i="30"/>
  <c r="E28" i="30"/>
  <c r="D28" i="30"/>
  <c r="H25" i="14" s="1"/>
  <c r="X26" i="30"/>
  <c r="W26" i="30"/>
  <c r="X25" i="30"/>
  <c r="W25" i="30"/>
  <c r="X24" i="30"/>
  <c r="W24" i="30"/>
  <c r="X23" i="30"/>
  <c r="W23" i="30"/>
  <c r="X22" i="30"/>
  <c r="W22" i="30"/>
  <c r="X21" i="30"/>
  <c r="W21" i="30"/>
  <c r="X20" i="30"/>
  <c r="W20" i="30"/>
  <c r="X19" i="30"/>
  <c r="W19" i="30"/>
  <c r="X18" i="30"/>
  <c r="W18" i="30"/>
  <c r="X17" i="30"/>
  <c r="W17" i="30"/>
  <c r="E15" i="30"/>
  <c r="T25" i="14" s="1"/>
  <c r="D15" i="30"/>
  <c r="C25" i="14" s="1"/>
  <c r="X13" i="30"/>
  <c r="W13" i="30"/>
  <c r="V13" i="30"/>
  <c r="U13" i="30"/>
  <c r="T13" i="30"/>
  <c r="X12" i="30"/>
  <c r="W12" i="30"/>
  <c r="V12" i="30"/>
  <c r="U12" i="30"/>
  <c r="T12" i="30"/>
  <c r="X11" i="30"/>
  <c r="W11" i="30"/>
  <c r="V11" i="30"/>
  <c r="U11" i="30"/>
  <c r="T11" i="30"/>
  <c r="X10" i="30"/>
  <c r="W10" i="30"/>
  <c r="V10" i="30"/>
  <c r="U10" i="30"/>
  <c r="T10" i="30"/>
  <c r="X9" i="30"/>
  <c r="W9" i="30"/>
  <c r="V9" i="30"/>
  <c r="U9" i="30"/>
  <c r="T9" i="30"/>
  <c r="X8" i="30"/>
  <c r="W8" i="30"/>
  <c r="V8" i="30"/>
  <c r="U8" i="30"/>
  <c r="T8" i="30"/>
  <c r="X7" i="30"/>
  <c r="W7" i="30"/>
  <c r="V7" i="30"/>
  <c r="U7" i="30"/>
  <c r="T7" i="30"/>
  <c r="X6" i="30"/>
  <c r="W6" i="30"/>
  <c r="V6" i="30"/>
  <c r="U6" i="30"/>
  <c r="T6" i="30"/>
  <c r="X5" i="30"/>
  <c r="W5" i="30"/>
  <c r="V5" i="30"/>
  <c r="U5" i="30"/>
  <c r="T5" i="30"/>
  <c r="X4" i="30"/>
  <c r="W4" i="30"/>
  <c r="V4" i="30"/>
  <c r="U4" i="30"/>
  <c r="T4" i="30"/>
  <c r="X3" i="30"/>
  <c r="W3" i="30"/>
  <c r="V3" i="30"/>
  <c r="U3" i="30"/>
  <c r="T3" i="30"/>
  <c r="O3" i="30"/>
  <c r="V2" i="30"/>
  <c r="N1" i="30"/>
  <c r="E1" i="30"/>
  <c r="B1" i="30"/>
  <c r="I42" i="29"/>
  <c r="C41" i="29"/>
  <c r="L37" i="29"/>
  <c r="L32" i="29"/>
  <c r="E28" i="29"/>
  <c r="D28" i="29"/>
  <c r="H24" i="14" s="1"/>
  <c r="X26" i="29"/>
  <c r="W26" i="29"/>
  <c r="X25" i="29"/>
  <c r="W25" i="29"/>
  <c r="X24" i="29"/>
  <c r="W24" i="29"/>
  <c r="X23" i="29"/>
  <c r="W23" i="29"/>
  <c r="X22" i="29"/>
  <c r="W22" i="29"/>
  <c r="X21" i="29"/>
  <c r="W21" i="29"/>
  <c r="X20" i="29"/>
  <c r="W20" i="29"/>
  <c r="X19" i="29"/>
  <c r="W19" i="29"/>
  <c r="X18" i="29"/>
  <c r="W18" i="29"/>
  <c r="X17" i="29"/>
  <c r="W17" i="29"/>
  <c r="E15" i="29"/>
  <c r="T24" i="14" s="1"/>
  <c r="D15" i="29"/>
  <c r="C24" i="14" s="1"/>
  <c r="X13" i="29"/>
  <c r="W13" i="29"/>
  <c r="V13" i="29"/>
  <c r="U13" i="29"/>
  <c r="T13" i="29"/>
  <c r="X12" i="29"/>
  <c r="W12" i="29"/>
  <c r="V12" i="29"/>
  <c r="U12" i="29"/>
  <c r="T12" i="29"/>
  <c r="X11" i="29"/>
  <c r="W11" i="29"/>
  <c r="V11" i="29"/>
  <c r="U11" i="29"/>
  <c r="T11" i="29"/>
  <c r="X10" i="29"/>
  <c r="W10" i="29"/>
  <c r="V10" i="29"/>
  <c r="U10" i="29"/>
  <c r="T10" i="29"/>
  <c r="X9" i="29"/>
  <c r="W9" i="29"/>
  <c r="V9" i="29"/>
  <c r="U9" i="29"/>
  <c r="T9" i="29"/>
  <c r="X8" i="29"/>
  <c r="W8" i="29"/>
  <c r="V8" i="29"/>
  <c r="U8" i="29"/>
  <c r="T8" i="29"/>
  <c r="X7" i="29"/>
  <c r="W7" i="29"/>
  <c r="V7" i="29"/>
  <c r="U7" i="29"/>
  <c r="T7" i="29"/>
  <c r="X6" i="29"/>
  <c r="W6" i="29"/>
  <c r="V6" i="29"/>
  <c r="U6" i="29"/>
  <c r="T6" i="29"/>
  <c r="X5" i="29"/>
  <c r="W5" i="29"/>
  <c r="V5" i="29"/>
  <c r="U5" i="29"/>
  <c r="T5" i="29"/>
  <c r="X4" i="29"/>
  <c r="W4" i="29"/>
  <c r="V4" i="29"/>
  <c r="U4" i="29"/>
  <c r="T4" i="29"/>
  <c r="X3" i="29"/>
  <c r="W3" i="29"/>
  <c r="V3" i="29"/>
  <c r="U3" i="29"/>
  <c r="T3" i="29"/>
  <c r="O3" i="29"/>
  <c r="V2" i="29"/>
  <c r="N1" i="29"/>
  <c r="E1" i="29"/>
  <c r="B1" i="29"/>
  <c r="I42" i="28"/>
  <c r="C41" i="28"/>
  <c r="L37" i="28"/>
  <c r="L32" i="28"/>
  <c r="E28" i="28"/>
  <c r="D28" i="28"/>
  <c r="H23" i="14" s="1"/>
  <c r="X26" i="28"/>
  <c r="W26" i="28"/>
  <c r="X25" i="28"/>
  <c r="W25" i="28"/>
  <c r="X24" i="28"/>
  <c r="W24" i="28"/>
  <c r="X23" i="28"/>
  <c r="W23" i="28"/>
  <c r="X22" i="28"/>
  <c r="W22" i="28"/>
  <c r="X21" i="28"/>
  <c r="W21" i="28"/>
  <c r="X20" i="28"/>
  <c r="W20" i="28"/>
  <c r="X19" i="28"/>
  <c r="W19" i="28"/>
  <c r="X18" i="28"/>
  <c r="W18" i="28"/>
  <c r="X17" i="28"/>
  <c r="W17" i="28"/>
  <c r="E15" i="28"/>
  <c r="T23" i="14" s="1"/>
  <c r="D15" i="28"/>
  <c r="C23" i="14" s="1"/>
  <c r="X13" i="28"/>
  <c r="W13" i="28"/>
  <c r="V13" i="28"/>
  <c r="U13" i="28"/>
  <c r="T13" i="28"/>
  <c r="X12" i="28"/>
  <c r="W12" i="28"/>
  <c r="V12" i="28"/>
  <c r="U12" i="28"/>
  <c r="T12" i="28"/>
  <c r="X11" i="28"/>
  <c r="W11" i="28"/>
  <c r="V11" i="28"/>
  <c r="U11" i="28"/>
  <c r="T11" i="28"/>
  <c r="X10" i="28"/>
  <c r="W10" i="28"/>
  <c r="V10" i="28"/>
  <c r="U10" i="28"/>
  <c r="T10" i="28"/>
  <c r="X9" i="28"/>
  <c r="W9" i="28"/>
  <c r="V9" i="28"/>
  <c r="U9" i="28"/>
  <c r="T9" i="28"/>
  <c r="X8" i="28"/>
  <c r="W8" i="28"/>
  <c r="V8" i="28"/>
  <c r="U8" i="28"/>
  <c r="T8" i="28"/>
  <c r="X7" i="28"/>
  <c r="W7" i="28"/>
  <c r="V7" i="28"/>
  <c r="U7" i="28"/>
  <c r="T7" i="28"/>
  <c r="X6" i="28"/>
  <c r="W6" i="28"/>
  <c r="V6" i="28"/>
  <c r="U6" i="28"/>
  <c r="T6" i="28"/>
  <c r="X5" i="28"/>
  <c r="W5" i="28"/>
  <c r="V5" i="28"/>
  <c r="U5" i="28"/>
  <c r="T5" i="28"/>
  <c r="X4" i="28"/>
  <c r="W4" i="28"/>
  <c r="V4" i="28"/>
  <c r="U4" i="28"/>
  <c r="T4" i="28"/>
  <c r="X3" i="28"/>
  <c r="W3" i="28"/>
  <c r="V3" i="28"/>
  <c r="U3" i="28"/>
  <c r="T3" i="28"/>
  <c r="O3" i="28"/>
  <c r="V2" i="28"/>
  <c r="N1" i="28"/>
  <c r="E1" i="28"/>
  <c r="B1" i="28"/>
  <c r="I42" i="27"/>
  <c r="C41" i="27"/>
  <c r="L37" i="27"/>
  <c r="L32" i="27"/>
  <c r="E28" i="27"/>
  <c r="D28" i="27"/>
  <c r="H22" i="14" s="1"/>
  <c r="X26" i="27"/>
  <c r="W26" i="27"/>
  <c r="X25" i="27"/>
  <c r="W25" i="27"/>
  <c r="X24" i="27"/>
  <c r="W24" i="27"/>
  <c r="X23" i="27"/>
  <c r="W23" i="27"/>
  <c r="X22" i="27"/>
  <c r="W22" i="27"/>
  <c r="X21" i="27"/>
  <c r="W21" i="27"/>
  <c r="X20" i="27"/>
  <c r="W20" i="27"/>
  <c r="X19" i="27"/>
  <c r="W19" i="27"/>
  <c r="X18" i="27"/>
  <c r="W18" i="27"/>
  <c r="X17" i="27"/>
  <c r="W17" i="27"/>
  <c r="E15" i="27"/>
  <c r="T22" i="14" s="1"/>
  <c r="D15" i="27"/>
  <c r="C22" i="14" s="1"/>
  <c r="X13" i="27"/>
  <c r="W13" i="27"/>
  <c r="V13" i="27"/>
  <c r="U13" i="27"/>
  <c r="T13" i="27"/>
  <c r="X12" i="27"/>
  <c r="W12" i="27"/>
  <c r="V12" i="27"/>
  <c r="U12" i="27"/>
  <c r="T12" i="27"/>
  <c r="X11" i="27"/>
  <c r="W11" i="27"/>
  <c r="V11" i="27"/>
  <c r="U11" i="27"/>
  <c r="T11" i="27"/>
  <c r="X10" i="27"/>
  <c r="W10" i="27"/>
  <c r="V10" i="27"/>
  <c r="U10" i="27"/>
  <c r="T10" i="27"/>
  <c r="X9" i="27"/>
  <c r="W9" i="27"/>
  <c r="V9" i="27"/>
  <c r="U9" i="27"/>
  <c r="T9" i="27"/>
  <c r="X8" i="27"/>
  <c r="W8" i="27"/>
  <c r="V8" i="27"/>
  <c r="U8" i="27"/>
  <c r="T8" i="27"/>
  <c r="X7" i="27"/>
  <c r="W7" i="27"/>
  <c r="V7" i="27"/>
  <c r="U7" i="27"/>
  <c r="T7" i="27"/>
  <c r="X6" i="27"/>
  <c r="W6" i="27"/>
  <c r="V6" i="27"/>
  <c r="U6" i="27"/>
  <c r="T6" i="27"/>
  <c r="X5" i="27"/>
  <c r="W5" i="27"/>
  <c r="V5" i="27"/>
  <c r="U5" i="27"/>
  <c r="T5" i="27"/>
  <c r="X4" i="27"/>
  <c r="W4" i="27"/>
  <c r="V4" i="27"/>
  <c r="U4" i="27"/>
  <c r="T4" i="27"/>
  <c r="X3" i="27"/>
  <c r="W3" i="27"/>
  <c r="V3" i="27"/>
  <c r="U3" i="27"/>
  <c r="T3" i="27"/>
  <c r="O3" i="27"/>
  <c r="V2" i="27"/>
  <c r="N1" i="27"/>
  <c r="E1" i="27"/>
  <c r="B1" i="27"/>
  <c r="I42" i="26"/>
  <c r="C41" i="26"/>
  <c r="L37" i="26"/>
  <c r="L32" i="26"/>
  <c r="E28" i="26"/>
  <c r="D28" i="26"/>
  <c r="H21" i="14" s="1"/>
  <c r="X26" i="26"/>
  <c r="W26" i="26"/>
  <c r="X25" i="26"/>
  <c r="W25" i="26"/>
  <c r="X24" i="26"/>
  <c r="W24" i="26"/>
  <c r="X23" i="26"/>
  <c r="W23" i="26"/>
  <c r="X22" i="26"/>
  <c r="W22" i="26"/>
  <c r="X21" i="26"/>
  <c r="W21" i="26"/>
  <c r="X20" i="26"/>
  <c r="W20" i="26"/>
  <c r="X19" i="26"/>
  <c r="W19" i="26"/>
  <c r="X18" i="26"/>
  <c r="W18" i="26"/>
  <c r="X17" i="26"/>
  <c r="W17" i="26"/>
  <c r="E15" i="26"/>
  <c r="T21" i="14"/>
  <c r="D15" i="26"/>
  <c r="C21" i="14" s="1"/>
  <c r="X13" i="26"/>
  <c r="W13" i="26"/>
  <c r="V13" i="26"/>
  <c r="U13" i="26"/>
  <c r="T13" i="26"/>
  <c r="X12" i="26"/>
  <c r="W12" i="26"/>
  <c r="V12" i="26"/>
  <c r="U12" i="26"/>
  <c r="T12" i="26"/>
  <c r="X11" i="26"/>
  <c r="W11" i="26"/>
  <c r="V11" i="26"/>
  <c r="U11" i="26"/>
  <c r="T11" i="26"/>
  <c r="X10" i="26"/>
  <c r="W10" i="26"/>
  <c r="V10" i="26"/>
  <c r="U10" i="26"/>
  <c r="T10" i="26"/>
  <c r="X9" i="26"/>
  <c r="W9" i="26"/>
  <c r="V9" i="26"/>
  <c r="U9" i="26"/>
  <c r="T9" i="26"/>
  <c r="X8" i="26"/>
  <c r="W8" i="26"/>
  <c r="V8" i="26"/>
  <c r="U8" i="26"/>
  <c r="T8" i="26"/>
  <c r="X7" i="26"/>
  <c r="W7" i="26"/>
  <c r="V7" i="26"/>
  <c r="U7" i="26"/>
  <c r="T7" i="26"/>
  <c r="X6" i="26"/>
  <c r="W6" i="26"/>
  <c r="V6" i="26"/>
  <c r="U6" i="26"/>
  <c r="T6" i="26"/>
  <c r="X5" i="26"/>
  <c r="W5" i="26"/>
  <c r="V5" i="26"/>
  <c r="U5" i="26"/>
  <c r="T5" i="26"/>
  <c r="X4" i="26"/>
  <c r="W4" i="26"/>
  <c r="V4" i="26"/>
  <c r="U4" i="26"/>
  <c r="T4" i="26"/>
  <c r="X3" i="26"/>
  <c r="W3" i="26"/>
  <c r="V3" i="26"/>
  <c r="U3" i="26"/>
  <c r="T3" i="26"/>
  <c r="O3" i="26"/>
  <c r="V2" i="26"/>
  <c r="N1" i="26"/>
  <c r="E1" i="26"/>
  <c r="B1" i="26"/>
  <c r="I42" i="25"/>
  <c r="C41" i="25"/>
  <c r="L37" i="25"/>
  <c r="L32" i="25"/>
  <c r="E28" i="25"/>
  <c r="D28" i="25"/>
  <c r="H20" i="14" s="1"/>
  <c r="X26" i="25"/>
  <c r="W26" i="25"/>
  <c r="X25" i="25"/>
  <c r="W25" i="25"/>
  <c r="X24" i="25"/>
  <c r="W24" i="25"/>
  <c r="X23" i="25"/>
  <c r="W23" i="25"/>
  <c r="X22" i="25"/>
  <c r="W22" i="25"/>
  <c r="X21" i="25"/>
  <c r="W21" i="25"/>
  <c r="X20" i="25"/>
  <c r="W20" i="25"/>
  <c r="X19" i="25"/>
  <c r="W19" i="25"/>
  <c r="X18" i="25"/>
  <c r="W18" i="25"/>
  <c r="X17" i="25"/>
  <c r="W17" i="25"/>
  <c r="E15" i="25"/>
  <c r="T20" i="14" s="1"/>
  <c r="D15" i="25"/>
  <c r="C20" i="14" s="1"/>
  <c r="X13" i="25"/>
  <c r="W13" i="25"/>
  <c r="V13" i="25"/>
  <c r="U13" i="25"/>
  <c r="T13" i="25"/>
  <c r="X12" i="25"/>
  <c r="W12" i="25"/>
  <c r="V12" i="25"/>
  <c r="U12" i="25"/>
  <c r="T12" i="25"/>
  <c r="X11" i="25"/>
  <c r="W11" i="25"/>
  <c r="V11" i="25"/>
  <c r="U11" i="25"/>
  <c r="T11" i="25"/>
  <c r="X10" i="25"/>
  <c r="W10" i="25"/>
  <c r="V10" i="25"/>
  <c r="U10" i="25"/>
  <c r="T10" i="25"/>
  <c r="X9" i="25"/>
  <c r="W9" i="25"/>
  <c r="V9" i="25"/>
  <c r="U9" i="25"/>
  <c r="T9" i="25"/>
  <c r="X8" i="25"/>
  <c r="W8" i="25"/>
  <c r="V8" i="25"/>
  <c r="U8" i="25"/>
  <c r="T8" i="25"/>
  <c r="X7" i="25"/>
  <c r="W7" i="25"/>
  <c r="V7" i="25"/>
  <c r="U7" i="25"/>
  <c r="T7" i="25"/>
  <c r="X6" i="25"/>
  <c r="W6" i="25"/>
  <c r="V6" i="25"/>
  <c r="U6" i="25"/>
  <c r="T6" i="25"/>
  <c r="X5" i="25"/>
  <c r="W5" i="25"/>
  <c r="V5" i="25"/>
  <c r="U5" i="25"/>
  <c r="T5" i="25"/>
  <c r="X4" i="25"/>
  <c r="W4" i="25"/>
  <c r="V4" i="25"/>
  <c r="U4" i="25"/>
  <c r="T4" i="25"/>
  <c r="X3" i="25"/>
  <c r="W3" i="25"/>
  <c r="V3" i="25"/>
  <c r="U3" i="25"/>
  <c r="T3" i="25"/>
  <c r="O3" i="25"/>
  <c r="V2" i="25"/>
  <c r="N1" i="25"/>
  <c r="E1" i="25"/>
  <c r="B1" i="25"/>
  <c r="I42" i="24"/>
  <c r="C41" i="24"/>
  <c r="L37" i="24"/>
  <c r="L32" i="24"/>
  <c r="E28" i="24"/>
  <c r="D28" i="24"/>
  <c r="H19" i="14" s="1"/>
  <c r="X26" i="24"/>
  <c r="W26" i="24"/>
  <c r="X25" i="24"/>
  <c r="W25" i="24"/>
  <c r="X24" i="24"/>
  <c r="W24" i="24"/>
  <c r="X23" i="24"/>
  <c r="W23" i="24"/>
  <c r="X22" i="24"/>
  <c r="W22" i="24"/>
  <c r="X21" i="24"/>
  <c r="W21" i="24"/>
  <c r="X20" i="24"/>
  <c r="W20" i="24"/>
  <c r="X19" i="24"/>
  <c r="W19" i="24"/>
  <c r="X18" i="24"/>
  <c r="W18" i="24"/>
  <c r="X17" i="24"/>
  <c r="W17" i="24"/>
  <c r="E15" i="24"/>
  <c r="T19" i="14" s="1"/>
  <c r="D15" i="24"/>
  <c r="C19" i="14" s="1"/>
  <c r="X13" i="24"/>
  <c r="W13" i="24"/>
  <c r="V13" i="24"/>
  <c r="U13" i="24"/>
  <c r="T13" i="24"/>
  <c r="X12" i="24"/>
  <c r="W12" i="24"/>
  <c r="V12" i="24"/>
  <c r="U12" i="24"/>
  <c r="T12" i="24"/>
  <c r="X11" i="24"/>
  <c r="W11" i="24"/>
  <c r="V11" i="24"/>
  <c r="U11" i="24"/>
  <c r="T11" i="24"/>
  <c r="X10" i="24"/>
  <c r="W10" i="24"/>
  <c r="V10" i="24"/>
  <c r="U10" i="24"/>
  <c r="T10" i="24"/>
  <c r="X9" i="24"/>
  <c r="W9" i="24"/>
  <c r="V9" i="24"/>
  <c r="U9" i="24"/>
  <c r="T9" i="24"/>
  <c r="X8" i="24"/>
  <c r="W8" i="24"/>
  <c r="V8" i="24"/>
  <c r="U8" i="24"/>
  <c r="T8" i="24"/>
  <c r="X7" i="24"/>
  <c r="W7" i="24"/>
  <c r="V7" i="24"/>
  <c r="U7" i="24"/>
  <c r="T7" i="24"/>
  <c r="X6" i="24"/>
  <c r="W6" i="24"/>
  <c r="V6" i="24"/>
  <c r="U6" i="24"/>
  <c r="T6" i="24"/>
  <c r="X5" i="24"/>
  <c r="W5" i="24"/>
  <c r="V5" i="24"/>
  <c r="U5" i="24"/>
  <c r="T5" i="24"/>
  <c r="X4" i="24"/>
  <c r="W4" i="24"/>
  <c r="V4" i="24"/>
  <c r="U4" i="24"/>
  <c r="T4" i="24"/>
  <c r="X3" i="24"/>
  <c r="W3" i="24"/>
  <c r="V3" i="24"/>
  <c r="U3" i="24"/>
  <c r="T3" i="24"/>
  <c r="O3" i="24"/>
  <c r="V2" i="24"/>
  <c r="N1" i="24"/>
  <c r="E1" i="24"/>
  <c r="B1" i="24"/>
  <c r="I42" i="23"/>
  <c r="C41" i="23"/>
  <c r="L37" i="23"/>
  <c r="L32" i="23"/>
  <c r="E28" i="23"/>
  <c r="D28" i="23"/>
  <c r="H18" i="14" s="1"/>
  <c r="X26" i="23"/>
  <c r="W26" i="23"/>
  <c r="X25" i="23"/>
  <c r="W25" i="23"/>
  <c r="X24" i="23"/>
  <c r="W24" i="23"/>
  <c r="X23" i="23"/>
  <c r="W23" i="23"/>
  <c r="X22" i="23"/>
  <c r="W22" i="23"/>
  <c r="X21" i="23"/>
  <c r="W21" i="23"/>
  <c r="X20" i="23"/>
  <c r="W20" i="23"/>
  <c r="X19" i="23"/>
  <c r="W19" i="23"/>
  <c r="X18" i="23"/>
  <c r="W18" i="23"/>
  <c r="X17" i="23"/>
  <c r="W17" i="23"/>
  <c r="E15" i="23"/>
  <c r="D15" i="23"/>
  <c r="B18" i="14" s="1"/>
  <c r="X13" i="23"/>
  <c r="W13" i="23"/>
  <c r="V13" i="23"/>
  <c r="U13" i="23"/>
  <c r="T13" i="23"/>
  <c r="X12" i="23"/>
  <c r="W12" i="23"/>
  <c r="V12" i="23"/>
  <c r="U12" i="23"/>
  <c r="T12" i="23"/>
  <c r="X11" i="23"/>
  <c r="W11" i="23"/>
  <c r="V11" i="23"/>
  <c r="U11" i="23"/>
  <c r="T11" i="23"/>
  <c r="X10" i="23"/>
  <c r="W10" i="23"/>
  <c r="V10" i="23"/>
  <c r="U10" i="23"/>
  <c r="T10" i="23"/>
  <c r="X9" i="23"/>
  <c r="W9" i="23"/>
  <c r="V9" i="23"/>
  <c r="U9" i="23"/>
  <c r="T9" i="23"/>
  <c r="X8" i="23"/>
  <c r="W8" i="23"/>
  <c r="V8" i="23"/>
  <c r="U8" i="23"/>
  <c r="T8" i="23"/>
  <c r="X7" i="23"/>
  <c r="W7" i="23"/>
  <c r="V7" i="23"/>
  <c r="U7" i="23"/>
  <c r="T7" i="23"/>
  <c r="X6" i="23"/>
  <c r="W6" i="23"/>
  <c r="V6" i="23"/>
  <c r="U6" i="23"/>
  <c r="T6" i="23"/>
  <c r="X5" i="23"/>
  <c r="W5" i="23"/>
  <c r="V5" i="23"/>
  <c r="U5" i="23"/>
  <c r="T5" i="23"/>
  <c r="X4" i="23"/>
  <c r="W4" i="23"/>
  <c r="V4" i="23"/>
  <c r="U4" i="23"/>
  <c r="T4" i="23"/>
  <c r="X3" i="23"/>
  <c r="W3" i="23"/>
  <c r="V3" i="23"/>
  <c r="U3" i="23"/>
  <c r="T3" i="23"/>
  <c r="O3" i="23"/>
  <c r="V2" i="23"/>
  <c r="N1" i="23"/>
  <c r="E1" i="23"/>
  <c r="B1" i="23"/>
  <c r="I42" i="22"/>
  <c r="C41" i="22"/>
  <c r="L37" i="22"/>
  <c r="L32" i="22"/>
  <c r="E28" i="22"/>
  <c r="D28" i="22"/>
  <c r="H17" i="14" s="1"/>
  <c r="X26" i="22"/>
  <c r="W26" i="22"/>
  <c r="X25" i="22"/>
  <c r="W25" i="22"/>
  <c r="X24" i="22"/>
  <c r="W24" i="22"/>
  <c r="X23" i="22"/>
  <c r="W23" i="22"/>
  <c r="X22" i="22"/>
  <c r="W22" i="22"/>
  <c r="X21" i="22"/>
  <c r="W21" i="22"/>
  <c r="X20" i="22"/>
  <c r="W20" i="22"/>
  <c r="X19" i="22"/>
  <c r="W19" i="22"/>
  <c r="X18" i="22"/>
  <c r="W18" i="22"/>
  <c r="X17" i="22"/>
  <c r="W17" i="22"/>
  <c r="E15" i="22"/>
  <c r="T17" i="14" s="1"/>
  <c r="D15" i="22"/>
  <c r="C17" i="14" s="1"/>
  <c r="X13" i="22"/>
  <c r="W13" i="22"/>
  <c r="V13" i="22"/>
  <c r="U13" i="22"/>
  <c r="T13" i="22"/>
  <c r="X12" i="22"/>
  <c r="W12" i="22"/>
  <c r="V12" i="22"/>
  <c r="U12" i="22"/>
  <c r="T12" i="22"/>
  <c r="X11" i="22"/>
  <c r="W11" i="22"/>
  <c r="V11" i="22"/>
  <c r="U11" i="22"/>
  <c r="T11" i="22"/>
  <c r="X10" i="22"/>
  <c r="W10" i="22"/>
  <c r="V10" i="22"/>
  <c r="U10" i="22"/>
  <c r="T10" i="22"/>
  <c r="X9" i="22"/>
  <c r="W9" i="22"/>
  <c r="V9" i="22"/>
  <c r="U9" i="22"/>
  <c r="T9" i="22"/>
  <c r="X8" i="22"/>
  <c r="W8" i="22"/>
  <c r="V8" i="22"/>
  <c r="U8" i="22"/>
  <c r="T8" i="22"/>
  <c r="X7" i="22"/>
  <c r="W7" i="22"/>
  <c r="V7" i="22"/>
  <c r="U7" i="22"/>
  <c r="T7" i="22"/>
  <c r="X6" i="22"/>
  <c r="W6" i="22"/>
  <c r="V6" i="22"/>
  <c r="U6" i="22"/>
  <c r="T6" i="22"/>
  <c r="X5" i="22"/>
  <c r="W5" i="22"/>
  <c r="V5" i="22"/>
  <c r="U5" i="22"/>
  <c r="T5" i="22"/>
  <c r="X4" i="22"/>
  <c r="W4" i="22"/>
  <c r="V4" i="22"/>
  <c r="U4" i="22"/>
  <c r="T4" i="22"/>
  <c r="X3" i="22"/>
  <c r="W3" i="22"/>
  <c r="V3" i="22"/>
  <c r="U3" i="22"/>
  <c r="T3" i="22"/>
  <c r="O3" i="22"/>
  <c r="V2" i="22"/>
  <c r="N1" i="22"/>
  <c r="E1" i="22"/>
  <c r="B1" i="22"/>
  <c r="U6" i="14"/>
  <c r="U7" i="14" s="1"/>
  <c r="U8" i="14" s="1"/>
  <c r="U9" i="14" s="1"/>
  <c r="U10" i="14" s="1"/>
  <c r="U11" i="14" s="1"/>
  <c r="U12" i="14" s="1"/>
  <c r="U13" i="14" s="1"/>
  <c r="U14" i="14" s="1"/>
  <c r="U15" i="14" s="1"/>
  <c r="U16" i="14" s="1"/>
  <c r="U17" i="14" s="1"/>
  <c r="U18" i="14" s="1"/>
  <c r="U19" i="14" s="1"/>
  <c r="U20" i="14" s="1"/>
  <c r="U21" i="14" s="1"/>
  <c r="U22" i="14" s="1"/>
  <c r="U23" i="14" s="1"/>
  <c r="U24" i="14" s="1"/>
  <c r="U25" i="14" s="1"/>
  <c r="U26" i="14" s="1"/>
  <c r="U27" i="14" s="1"/>
  <c r="U28" i="14" s="1"/>
  <c r="U29" i="14" s="1"/>
  <c r="A32" i="17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F75" i="17"/>
  <c r="F86" i="17" s="1"/>
  <c r="F5" i="21"/>
  <c r="B6" i="21"/>
  <c r="B5" i="21"/>
  <c r="B14" i="20"/>
  <c r="D49" i="1"/>
  <c r="D48" i="1"/>
  <c r="N34" i="1"/>
  <c r="J1" i="20"/>
  <c r="F1" i="20"/>
  <c r="B1" i="20"/>
  <c r="B1" i="16"/>
  <c r="D1" i="16"/>
  <c r="H1" i="16"/>
  <c r="G3" i="16"/>
  <c r="B3" i="17" s="1"/>
  <c r="H3" i="16"/>
  <c r="B30" i="17" s="1"/>
  <c r="L14" i="13" s="1"/>
  <c r="M14" i="13" s="1"/>
  <c r="G4" i="16"/>
  <c r="H4" i="16"/>
  <c r="H5" i="16"/>
  <c r="G5" i="16"/>
  <c r="G6" i="16"/>
  <c r="H6" i="16"/>
  <c r="G7" i="16"/>
  <c r="H7" i="16"/>
  <c r="G8" i="16"/>
  <c r="D3" i="17"/>
  <c r="D4" i="17" s="1"/>
  <c r="H8" i="16"/>
  <c r="D30" i="17" s="1"/>
  <c r="D31" i="17" s="1"/>
  <c r="D32" i="17" s="1"/>
  <c r="D33" i="17" s="1"/>
  <c r="D34" i="17" s="1"/>
  <c r="D35" i="17" s="1"/>
  <c r="D36" i="17" s="1"/>
  <c r="D37" i="17" s="1"/>
  <c r="D38" i="17" s="1"/>
  <c r="D39" i="17" s="1"/>
  <c r="D40" i="17" s="1"/>
  <c r="D41" i="17" s="1"/>
  <c r="D42" i="17" s="1"/>
  <c r="D43" i="17" s="1"/>
  <c r="D44" i="17" s="1"/>
  <c r="D45" i="17" s="1"/>
  <c r="D46" i="17" s="1"/>
  <c r="D47" i="17" s="1"/>
  <c r="D48" i="17" s="1"/>
  <c r="D49" i="17" s="1"/>
  <c r="D50" i="17" s="1"/>
  <c r="D51" i="17" s="1"/>
  <c r="D52" i="17" s="1"/>
  <c r="D53" i="17" s="1"/>
  <c r="D54" i="17" s="1"/>
  <c r="G9" i="16"/>
  <c r="H9" i="16"/>
  <c r="G10" i="16"/>
  <c r="E3" i="17" s="1"/>
  <c r="E4" i="17" s="1"/>
  <c r="E5" i="17" s="1"/>
  <c r="E6" i="17" s="1"/>
  <c r="E7" i="17" s="1"/>
  <c r="E8" i="17" s="1"/>
  <c r="E9" i="17" s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H10" i="16"/>
  <c r="E30" i="17" s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E47" i="17" s="1"/>
  <c r="E48" i="17" s="1"/>
  <c r="E49" i="17" s="1"/>
  <c r="E50" i="17" s="1"/>
  <c r="E51" i="17" s="1"/>
  <c r="E52" i="17" s="1"/>
  <c r="E53" i="17" s="1"/>
  <c r="E54" i="17" s="1"/>
  <c r="G11" i="16"/>
  <c r="F3" i="17" s="1"/>
  <c r="F4" i="17" s="1"/>
  <c r="F5" i="17" s="1"/>
  <c r="F6" i="17" s="1"/>
  <c r="F7" i="17" s="1"/>
  <c r="F8" i="17" s="1"/>
  <c r="F9" i="17" s="1"/>
  <c r="F10" i="17" s="1"/>
  <c r="F11" i="17" s="1"/>
  <c r="F12" i="17" s="1"/>
  <c r="F13" i="17" s="1"/>
  <c r="F14" i="17" s="1"/>
  <c r="F15" i="17" s="1"/>
  <c r="F16" i="17" s="1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H11" i="16"/>
  <c r="G12" i="16"/>
  <c r="H3" i="17" s="1"/>
  <c r="H4" i="17" s="1"/>
  <c r="H5" i="17" s="1"/>
  <c r="H6" i="17" s="1"/>
  <c r="H7" i="17" s="1"/>
  <c r="H8" i="17" s="1"/>
  <c r="H9" i="17" s="1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12" i="16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G13" i="16"/>
  <c r="L3" i="17" s="1"/>
  <c r="L4" i="17" s="1"/>
  <c r="L5" i="17" s="1"/>
  <c r="L6" i="17" s="1"/>
  <c r="L7" i="17" s="1"/>
  <c r="L8" i="17" s="1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H13" i="16"/>
  <c r="L30" i="17" s="1"/>
  <c r="L31" i="17" s="1"/>
  <c r="G14" i="16"/>
  <c r="I3" i="17" s="1"/>
  <c r="I4" i="17" s="1"/>
  <c r="I5" i="17" s="1"/>
  <c r="I6" i="17" s="1"/>
  <c r="I7" i="17" s="1"/>
  <c r="I8" i="17" s="1"/>
  <c r="I9" i="17" s="1"/>
  <c r="I10" i="17" s="1"/>
  <c r="I11" i="17" s="1"/>
  <c r="I12" i="17" s="1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H14" i="16"/>
  <c r="I30" i="17" s="1"/>
  <c r="I31" i="17" s="1"/>
  <c r="I32" i="17" s="1"/>
  <c r="I33" i="17" s="1"/>
  <c r="I34" i="17" s="1"/>
  <c r="I35" i="17" s="1"/>
  <c r="I36" i="17" s="1"/>
  <c r="I37" i="17" s="1"/>
  <c r="I38" i="17" s="1"/>
  <c r="I39" i="17" s="1"/>
  <c r="I40" i="17" s="1"/>
  <c r="I41" i="17" s="1"/>
  <c r="I42" i="17" s="1"/>
  <c r="I43" i="17" s="1"/>
  <c r="I44" i="17" s="1"/>
  <c r="I45" i="17" s="1"/>
  <c r="I46" i="17" s="1"/>
  <c r="I47" i="17" s="1"/>
  <c r="I48" i="17" s="1"/>
  <c r="I49" i="17" s="1"/>
  <c r="I50" i="17" s="1"/>
  <c r="I51" i="17" s="1"/>
  <c r="I52" i="17" s="1"/>
  <c r="I53" i="17" s="1"/>
  <c r="I54" i="17" s="1"/>
  <c r="G15" i="16"/>
  <c r="M3" i="17" s="1"/>
  <c r="M4" i="17" s="1"/>
  <c r="M5" i="17" s="1"/>
  <c r="M6" i="17" s="1"/>
  <c r="M7" i="17" s="1"/>
  <c r="M8" i="17" s="1"/>
  <c r="M9" i="17" s="1"/>
  <c r="M10" i="17" s="1"/>
  <c r="M11" i="17" s="1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H15" i="16"/>
  <c r="G16" i="16"/>
  <c r="R3" i="17" s="1"/>
  <c r="R4" i="17" s="1"/>
  <c r="R5" i="17" s="1"/>
  <c r="R6" i="17" s="1"/>
  <c r="R7" i="17" s="1"/>
  <c r="R8" i="17" s="1"/>
  <c r="R9" i="17" s="1"/>
  <c r="R10" i="17" s="1"/>
  <c r="R11" i="17" s="1"/>
  <c r="R12" i="17" s="1"/>
  <c r="R13" i="17" s="1"/>
  <c r="R14" i="17" s="1"/>
  <c r="R15" i="17" s="1"/>
  <c r="R16" i="17" s="1"/>
  <c r="R17" i="17" s="1"/>
  <c r="R18" i="17" s="1"/>
  <c r="R19" i="17" s="1"/>
  <c r="R20" i="17" s="1"/>
  <c r="R21" i="17" s="1"/>
  <c r="R22" i="17" s="1"/>
  <c r="R23" i="17" s="1"/>
  <c r="R24" i="17" s="1"/>
  <c r="R25" i="17" s="1"/>
  <c r="R26" i="17" s="1"/>
  <c r="R27" i="17" s="1"/>
  <c r="H16" i="16"/>
  <c r="R30" i="17" s="1"/>
  <c r="G17" i="16"/>
  <c r="T3" i="17" s="1"/>
  <c r="T4" i="17" s="1"/>
  <c r="T5" i="17" s="1"/>
  <c r="T6" i="17" s="1"/>
  <c r="T7" i="17" s="1"/>
  <c r="T8" i="17" s="1"/>
  <c r="T9" i="17" s="1"/>
  <c r="T10" i="17" s="1"/>
  <c r="T11" i="17" s="1"/>
  <c r="T12" i="17" s="1"/>
  <c r="T13" i="17" s="1"/>
  <c r="T14" i="17" s="1"/>
  <c r="T15" i="17" s="1"/>
  <c r="T16" i="17" s="1"/>
  <c r="T17" i="17" s="1"/>
  <c r="T18" i="17" s="1"/>
  <c r="T19" i="17" s="1"/>
  <c r="T20" i="17" s="1"/>
  <c r="T21" i="17" s="1"/>
  <c r="T22" i="17" s="1"/>
  <c r="T23" i="17" s="1"/>
  <c r="T24" i="17" s="1"/>
  <c r="T25" i="17" s="1"/>
  <c r="T26" i="17" s="1"/>
  <c r="T27" i="17" s="1"/>
  <c r="H17" i="16"/>
  <c r="T30" i="17" s="1"/>
  <c r="T31" i="17" s="1"/>
  <c r="G18" i="16"/>
  <c r="H18" i="16"/>
  <c r="S30" i="17" s="1"/>
  <c r="G19" i="16"/>
  <c r="H19" i="16"/>
  <c r="G20" i="16"/>
  <c r="H20" i="16"/>
  <c r="G21" i="16"/>
  <c r="O3" i="17" s="1"/>
  <c r="K34" i="29" s="1"/>
  <c r="H21" i="16"/>
  <c r="O30" i="17" s="1"/>
  <c r="G22" i="16"/>
  <c r="H22" i="16"/>
  <c r="P30" i="17" s="1"/>
  <c r="P31" i="17" s="1"/>
  <c r="P32" i="17" s="1"/>
  <c r="P33" i="17" s="1"/>
  <c r="P34" i="17" s="1"/>
  <c r="P35" i="17" s="1"/>
  <c r="P36" i="17" s="1"/>
  <c r="P37" i="17" s="1"/>
  <c r="P38" i="17" s="1"/>
  <c r="P39" i="17" s="1"/>
  <c r="P40" i="17" s="1"/>
  <c r="P41" i="17" s="1"/>
  <c r="P42" i="17" s="1"/>
  <c r="P43" i="17" s="1"/>
  <c r="P44" i="17" s="1"/>
  <c r="P45" i="17" s="1"/>
  <c r="P46" i="17" s="1"/>
  <c r="P47" i="17" s="1"/>
  <c r="P48" i="17" s="1"/>
  <c r="P49" i="17" s="1"/>
  <c r="P50" i="17" s="1"/>
  <c r="P51" i="17" s="1"/>
  <c r="P52" i="17" s="1"/>
  <c r="P53" i="17" s="1"/>
  <c r="P54" i="17" s="1"/>
  <c r="G23" i="16"/>
  <c r="Q3" i="17" s="1"/>
  <c r="H23" i="16"/>
  <c r="Q30" i="17" s="1"/>
  <c r="L36" i="27" s="1"/>
  <c r="G24" i="16"/>
  <c r="H24" i="16"/>
  <c r="K30" i="17" s="1"/>
  <c r="G25" i="16"/>
  <c r="H25" i="16"/>
  <c r="G26" i="16"/>
  <c r="H26" i="16"/>
  <c r="G27" i="16"/>
  <c r="N3" i="17" s="1"/>
  <c r="K30" i="24" s="1"/>
  <c r="H27" i="16"/>
  <c r="N30" i="17" s="1"/>
  <c r="L30" i="3" s="1"/>
  <c r="G29" i="16"/>
  <c r="H29" i="16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G46" i="17" s="1"/>
  <c r="G47" i="17" s="1"/>
  <c r="G48" i="17" s="1"/>
  <c r="G49" i="17" s="1"/>
  <c r="G50" i="17" s="1"/>
  <c r="G51" i="17" s="1"/>
  <c r="G52" i="17" s="1"/>
  <c r="G53" i="17" s="1"/>
  <c r="G54" i="17" s="1"/>
  <c r="B1" i="2"/>
  <c r="E1" i="2"/>
  <c r="N1" i="2"/>
  <c r="V2" i="2"/>
  <c r="T3" i="2"/>
  <c r="U3" i="2"/>
  <c r="V3" i="2"/>
  <c r="W3" i="2"/>
  <c r="X3" i="2"/>
  <c r="T4" i="2"/>
  <c r="U4" i="2"/>
  <c r="V4" i="2"/>
  <c r="W4" i="2"/>
  <c r="X4" i="2"/>
  <c r="T5" i="2"/>
  <c r="U5" i="2"/>
  <c r="V5" i="2"/>
  <c r="W5" i="2"/>
  <c r="X5" i="2"/>
  <c r="T6" i="2"/>
  <c r="U6" i="2"/>
  <c r="V6" i="2"/>
  <c r="W6" i="2"/>
  <c r="X6" i="2"/>
  <c r="T7" i="2"/>
  <c r="U7" i="2"/>
  <c r="V7" i="2"/>
  <c r="W7" i="2"/>
  <c r="X7" i="2"/>
  <c r="T8" i="2"/>
  <c r="U8" i="2"/>
  <c r="V8" i="2"/>
  <c r="W8" i="2"/>
  <c r="X8" i="2"/>
  <c r="T9" i="2"/>
  <c r="U9" i="2"/>
  <c r="V9" i="2"/>
  <c r="W9" i="2"/>
  <c r="X9" i="2"/>
  <c r="T10" i="2"/>
  <c r="U10" i="2"/>
  <c r="V10" i="2"/>
  <c r="W10" i="2"/>
  <c r="X10" i="2"/>
  <c r="T11" i="2"/>
  <c r="U11" i="2"/>
  <c r="V11" i="2"/>
  <c r="W11" i="2"/>
  <c r="X11" i="2"/>
  <c r="T12" i="2"/>
  <c r="U12" i="2"/>
  <c r="V12" i="2"/>
  <c r="W12" i="2"/>
  <c r="X12" i="2"/>
  <c r="T13" i="2"/>
  <c r="U13" i="2"/>
  <c r="V13" i="2"/>
  <c r="W13" i="2"/>
  <c r="X13" i="2"/>
  <c r="D15" i="2"/>
  <c r="B5" i="14" s="1"/>
  <c r="E15" i="2"/>
  <c r="T5" i="14" s="1"/>
  <c r="W17" i="2"/>
  <c r="X17" i="2"/>
  <c r="W18" i="2"/>
  <c r="X18" i="2"/>
  <c r="W19" i="2"/>
  <c r="X19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D28" i="2"/>
  <c r="H5" i="14" s="1"/>
  <c r="E28" i="2"/>
  <c r="L32" i="2"/>
  <c r="M32" i="2" s="1"/>
  <c r="L37" i="2"/>
  <c r="M37" i="2" s="1"/>
  <c r="C41" i="2"/>
  <c r="B1" i="11"/>
  <c r="E1" i="11"/>
  <c r="N1" i="11"/>
  <c r="V2" i="11"/>
  <c r="O3" i="11"/>
  <c r="T3" i="11"/>
  <c r="U3" i="11"/>
  <c r="V3" i="11"/>
  <c r="W3" i="11"/>
  <c r="X3" i="11"/>
  <c r="T4" i="11"/>
  <c r="U4" i="11"/>
  <c r="V4" i="11"/>
  <c r="W4" i="11"/>
  <c r="X4" i="11"/>
  <c r="T5" i="11"/>
  <c r="U5" i="11"/>
  <c r="V5" i="11"/>
  <c r="W5" i="11"/>
  <c r="X5" i="11"/>
  <c r="T6" i="11"/>
  <c r="U6" i="11"/>
  <c r="V6" i="11"/>
  <c r="W6" i="11"/>
  <c r="X6" i="11"/>
  <c r="T7" i="11"/>
  <c r="U7" i="11"/>
  <c r="V7" i="11"/>
  <c r="W7" i="11"/>
  <c r="X7" i="11"/>
  <c r="T8" i="11"/>
  <c r="U8" i="11"/>
  <c r="V8" i="11"/>
  <c r="W8" i="11"/>
  <c r="X8" i="11"/>
  <c r="T9" i="11"/>
  <c r="U9" i="11"/>
  <c r="V9" i="11"/>
  <c r="W9" i="11"/>
  <c r="X9" i="11"/>
  <c r="T10" i="11"/>
  <c r="U10" i="11"/>
  <c r="V10" i="11"/>
  <c r="W10" i="11"/>
  <c r="X10" i="11"/>
  <c r="T11" i="11"/>
  <c r="U11" i="11"/>
  <c r="V11" i="11"/>
  <c r="W11" i="11"/>
  <c r="X11" i="11"/>
  <c r="T12" i="11"/>
  <c r="U12" i="11"/>
  <c r="V12" i="11"/>
  <c r="W12" i="11"/>
  <c r="X12" i="11"/>
  <c r="T13" i="11"/>
  <c r="U13" i="11"/>
  <c r="V13" i="11"/>
  <c r="W13" i="11"/>
  <c r="X13" i="11"/>
  <c r="D15" i="11"/>
  <c r="B14" i="14" s="1"/>
  <c r="E15" i="11"/>
  <c r="T14" i="14" s="1"/>
  <c r="W17" i="11"/>
  <c r="X17" i="11"/>
  <c r="W18" i="11"/>
  <c r="X18" i="11"/>
  <c r="W19" i="11"/>
  <c r="X19" i="11"/>
  <c r="W20" i="11"/>
  <c r="X20" i="11"/>
  <c r="W21" i="11"/>
  <c r="X21" i="11"/>
  <c r="W22" i="11"/>
  <c r="X22" i="11"/>
  <c r="W23" i="11"/>
  <c r="X23" i="11"/>
  <c r="W24" i="11"/>
  <c r="X24" i="11"/>
  <c r="W25" i="11"/>
  <c r="X25" i="11"/>
  <c r="W26" i="11"/>
  <c r="I28" i="11" s="1"/>
  <c r="G14" i="14" s="1"/>
  <c r="X26" i="11"/>
  <c r="D28" i="11"/>
  <c r="H14" i="14" s="1"/>
  <c r="E28" i="11"/>
  <c r="L32" i="11"/>
  <c r="L37" i="11"/>
  <c r="C41" i="11"/>
  <c r="I42" i="11"/>
  <c r="B1" i="12"/>
  <c r="E1" i="12"/>
  <c r="N1" i="12"/>
  <c r="V2" i="12"/>
  <c r="O3" i="12"/>
  <c r="T3" i="12"/>
  <c r="U3" i="12"/>
  <c r="V3" i="12"/>
  <c r="W3" i="12"/>
  <c r="X3" i="12"/>
  <c r="T4" i="12"/>
  <c r="U4" i="12"/>
  <c r="V4" i="12"/>
  <c r="W4" i="12"/>
  <c r="X4" i="12"/>
  <c r="T5" i="12"/>
  <c r="U5" i="12"/>
  <c r="V5" i="12"/>
  <c r="W5" i="12"/>
  <c r="X5" i="12"/>
  <c r="T6" i="12"/>
  <c r="U6" i="12"/>
  <c r="V6" i="12"/>
  <c r="W6" i="12"/>
  <c r="X6" i="12"/>
  <c r="T7" i="12"/>
  <c r="U7" i="12"/>
  <c r="V7" i="12"/>
  <c r="W7" i="12"/>
  <c r="X7" i="12"/>
  <c r="T8" i="12"/>
  <c r="U8" i="12"/>
  <c r="V8" i="12"/>
  <c r="W8" i="12"/>
  <c r="X8" i="12"/>
  <c r="T9" i="12"/>
  <c r="U9" i="12"/>
  <c r="V9" i="12"/>
  <c r="W9" i="12"/>
  <c r="X9" i="12"/>
  <c r="T10" i="12"/>
  <c r="U10" i="12"/>
  <c r="V10" i="12"/>
  <c r="W10" i="12"/>
  <c r="X10" i="12"/>
  <c r="T11" i="12"/>
  <c r="U11" i="12"/>
  <c r="V11" i="12"/>
  <c r="W11" i="12"/>
  <c r="X11" i="12"/>
  <c r="T12" i="12"/>
  <c r="U12" i="12"/>
  <c r="V12" i="12"/>
  <c r="W12" i="12"/>
  <c r="X12" i="12"/>
  <c r="T13" i="12"/>
  <c r="U13" i="12"/>
  <c r="V13" i="12"/>
  <c r="W13" i="12"/>
  <c r="X13" i="12"/>
  <c r="D15" i="12"/>
  <c r="C15" i="14" s="1"/>
  <c r="E15" i="12"/>
  <c r="T15" i="14" s="1"/>
  <c r="W17" i="12"/>
  <c r="X17" i="12"/>
  <c r="W18" i="12"/>
  <c r="X18" i="12"/>
  <c r="W19" i="12"/>
  <c r="X19" i="12"/>
  <c r="W20" i="12"/>
  <c r="X20" i="12"/>
  <c r="W21" i="12"/>
  <c r="X21" i="12"/>
  <c r="W22" i="12"/>
  <c r="X22" i="12"/>
  <c r="W23" i="12"/>
  <c r="X23" i="12"/>
  <c r="W24" i="12"/>
  <c r="X24" i="12"/>
  <c r="W25" i="12"/>
  <c r="X25" i="12"/>
  <c r="W26" i="12"/>
  <c r="X26" i="12"/>
  <c r="D28" i="12"/>
  <c r="H15" i="14" s="1"/>
  <c r="E28" i="12"/>
  <c r="L32" i="12"/>
  <c r="L37" i="12"/>
  <c r="C41" i="12"/>
  <c r="I42" i="12"/>
  <c r="B1" i="13"/>
  <c r="E1" i="13"/>
  <c r="N1" i="13"/>
  <c r="V2" i="13"/>
  <c r="O3" i="13"/>
  <c r="T3" i="13"/>
  <c r="U3" i="13"/>
  <c r="V3" i="13"/>
  <c r="W3" i="13"/>
  <c r="X3" i="13"/>
  <c r="T4" i="13"/>
  <c r="U4" i="13"/>
  <c r="V4" i="13"/>
  <c r="W4" i="13"/>
  <c r="X4" i="13"/>
  <c r="T5" i="13"/>
  <c r="U5" i="13"/>
  <c r="V5" i="13"/>
  <c r="W5" i="13"/>
  <c r="X5" i="13"/>
  <c r="T6" i="13"/>
  <c r="U6" i="13"/>
  <c r="V6" i="13"/>
  <c r="W6" i="13"/>
  <c r="X6" i="13"/>
  <c r="T7" i="13"/>
  <c r="U7" i="13"/>
  <c r="V7" i="13"/>
  <c r="W7" i="13"/>
  <c r="X7" i="13"/>
  <c r="T8" i="13"/>
  <c r="U8" i="13"/>
  <c r="V8" i="13"/>
  <c r="W8" i="13"/>
  <c r="X8" i="13"/>
  <c r="T9" i="13"/>
  <c r="U9" i="13"/>
  <c r="V9" i="13"/>
  <c r="W9" i="13"/>
  <c r="X9" i="13"/>
  <c r="T10" i="13"/>
  <c r="U10" i="13"/>
  <c r="V10" i="13"/>
  <c r="W10" i="13"/>
  <c r="X10" i="13"/>
  <c r="T11" i="13"/>
  <c r="U11" i="13"/>
  <c r="V11" i="13"/>
  <c r="W11" i="13"/>
  <c r="X11" i="13"/>
  <c r="T12" i="13"/>
  <c r="U12" i="13"/>
  <c r="V12" i="13"/>
  <c r="W12" i="13"/>
  <c r="X12" i="13"/>
  <c r="T13" i="13"/>
  <c r="U13" i="13"/>
  <c r="V13" i="13"/>
  <c r="W13" i="13"/>
  <c r="X13" i="13"/>
  <c r="D15" i="13"/>
  <c r="B16" i="14" s="1"/>
  <c r="C16" i="14"/>
  <c r="E15" i="13"/>
  <c r="T16" i="14" s="1"/>
  <c r="W17" i="13"/>
  <c r="X17" i="13"/>
  <c r="W18" i="13"/>
  <c r="X18" i="13"/>
  <c r="W19" i="13"/>
  <c r="X19" i="13"/>
  <c r="W20" i="13"/>
  <c r="X20" i="13"/>
  <c r="W21" i="13"/>
  <c r="X21" i="13"/>
  <c r="W22" i="13"/>
  <c r="X22" i="13"/>
  <c r="W23" i="13"/>
  <c r="X23" i="13"/>
  <c r="W24" i="13"/>
  <c r="X24" i="13"/>
  <c r="W25" i="13"/>
  <c r="X25" i="13"/>
  <c r="W26" i="13"/>
  <c r="I28" i="13" s="1"/>
  <c r="G16" i="14" s="1"/>
  <c r="X26" i="13"/>
  <c r="D28" i="13"/>
  <c r="H16" i="14" s="1"/>
  <c r="E28" i="13"/>
  <c r="L32" i="13"/>
  <c r="L37" i="13"/>
  <c r="C41" i="13"/>
  <c r="I42" i="13"/>
  <c r="B1" i="3"/>
  <c r="E1" i="3"/>
  <c r="V2" i="3"/>
  <c r="O3" i="3"/>
  <c r="T3" i="3"/>
  <c r="U3" i="3"/>
  <c r="V3" i="3"/>
  <c r="W3" i="3"/>
  <c r="X3" i="3"/>
  <c r="T4" i="3"/>
  <c r="U4" i="3"/>
  <c r="V4" i="3"/>
  <c r="W4" i="3"/>
  <c r="X4" i="3"/>
  <c r="T5" i="3"/>
  <c r="U5" i="3"/>
  <c r="V5" i="3"/>
  <c r="W5" i="3"/>
  <c r="X5" i="3"/>
  <c r="T6" i="3"/>
  <c r="U6" i="3"/>
  <c r="V6" i="3"/>
  <c r="W6" i="3"/>
  <c r="X6" i="3"/>
  <c r="T7" i="3"/>
  <c r="U7" i="3"/>
  <c r="V7" i="3"/>
  <c r="W7" i="3"/>
  <c r="X7" i="3"/>
  <c r="T8" i="3"/>
  <c r="U8" i="3"/>
  <c r="V8" i="3"/>
  <c r="W8" i="3"/>
  <c r="X8" i="3"/>
  <c r="T9" i="3"/>
  <c r="U9" i="3"/>
  <c r="V9" i="3"/>
  <c r="W9" i="3"/>
  <c r="X9" i="3"/>
  <c r="T10" i="3"/>
  <c r="U10" i="3"/>
  <c r="V10" i="3"/>
  <c r="W10" i="3"/>
  <c r="X10" i="3"/>
  <c r="T11" i="3"/>
  <c r="U11" i="3"/>
  <c r="V11" i="3"/>
  <c r="W11" i="3"/>
  <c r="X11" i="3"/>
  <c r="T12" i="3"/>
  <c r="U12" i="3"/>
  <c r="V12" i="3"/>
  <c r="W12" i="3"/>
  <c r="X12" i="3"/>
  <c r="T13" i="3"/>
  <c r="U13" i="3"/>
  <c r="V13" i="3"/>
  <c r="W13" i="3"/>
  <c r="X13" i="3"/>
  <c r="D15" i="3"/>
  <c r="B6" i="14" s="1"/>
  <c r="E15" i="3"/>
  <c r="T6" i="14" s="1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D28" i="3"/>
  <c r="H6" i="14" s="1"/>
  <c r="E28" i="3"/>
  <c r="L32" i="3"/>
  <c r="M32" i="3" s="1"/>
  <c r="L37" i="3"/>
  <c r="C41" i="3"/>
  <c r="I42" i="3"/>
  <c r="B1" i="4"/>
  <c r="E1" i="4"/>
  <c r="N1" i="4"/>
  <c r="V2" i="4"/>
  <c r="O3" i="4"/>
  <c r="T3" i="4"/>
  <c r="U3" i="4"/>
  <c r="V3" i="4"/>
  <c r="W3" i="4"/>
  <c r="X3" i="4"/>
  <c r="T4" i="4"/>
  <c r="U4" i="4"/>
  <c r="V4" i="4"/>
  <c r="W4" i="4"/>
  <c r="X4" i="4"/>
  <c r="T5" i="4"/>
  <c r="U5" i="4"/>
  <c r="V5" i="4"/>
  <c r="W5" i="4"/>
  <c r="X5" i="4"/>
  <c r="T6" i="4"/>
  <c r="U6" i="4"/>
  <c r="V6" i="4"/>
  <c r="W6" i="4"/>
  <c r="X6" i="4"/>
  <c r="T7" i="4"/>
  <c r="U7" i="4"/>
  <c r="V7" i="4"/>
  <c r="W7" i="4"/>
  <c r="X7" i="4"/>
  <c r="T8" i="4"/>
  <c r="U8" i="4"/>
  <c r="V8" i="4"/>
  <c r="W8" i="4"/>
  <c r="X8" i="4"/>
  <c r="T9" i="4"/>
  <c r="U9" i="4"/>
  <c r="V9" i="4"/>
  <c r="W9" i="4"/>
  <c r="X9" i="4"/>
  <c r="T10" i="4"/>
  <c r="U10" i="4"/>
  <c r="V10" i="4"/>
  <c r="W10" i="4"/>
  <c r="X10" i="4"/>
  <c r="T11" i="4"/>
  <c r="U11" i="4"/>
  <c r="V11" i="4"/>
  <c r="W11" i="4"/>
  <c r="X11" i="4"/>
  <c r="T12" i="4"/>
  <c r="U12" i="4"/>
  <c r="V12" i="4"/>
  <c r="W12" i="4"/>
  <c r="X12" i="4"/>
  <c r="T13" i="4"/>
  <c r="U13" i="4"/>
  <c r="V13" i="4"/>
  <c r="W13" i="4"/>
  <c r="X13" i="4"/>
  <c r="D15" i="4"/>
  <c r="E15" i="4"/>
  <c r="T7" i="14" s="1"/>
  <c r="W17" i="4"/>
  <c r="X17" i="4"/>
  <c r="W18" i="4"/>
  <c r="X18" i="4"/>
  <c r="W19" i="4"/>
  <c r="X19" i="4"/>
  <c r="W20" i="4"/>
  <c r="X20" i="4"/>
  <c r="W21" i="4"/>
  <c r="X21" i="4"/>
  <c r="W22" i="4"/>
  <c r="X22" i="4"/>
  <c r="W23" i="4"/>
  <c r="X23" i="4"/>
  <c r="W24" i="4"/>
  <c r="X24" i="4"/>
  <c r="W25" i="4"/>
  <c r="X25" i="4"/>
  <c r="W26" i="4"/>
  <c r="X26" i="4"/>
  <c r="D28" i="4"/>
  <c r="H7" i="14" s="1"/>
  <c r="E28" i="4"/>
  <c r="L32" i="4"/>
  <c r="M32" i="4" s="1"/>
  <c r="L37" i="4"/>
  <c r="C41" i="4"/>
  <c r="I42" i="4"/>
  <c r="B1" i="5"/>
  <c r="E1" i="5"/>
  <c r="N1" i="5"/>
  <c r="V2" i="5"/>
  <c r="O3" i="5"/>
  <c r="T3" i="5"/>
  <c r="U3" i="5"/>
  <c r="V3" i="5"/>
  <c r="W3" i="5"/>
  <c r="X3" i="5"/>
  <c r="T4" i="5"/>
  <c r="U4" i="5"/>
  <c r="V4" i="5"/>
  <c r="W4" i="5"/>
  <c r="X4" i="5"/>
  <c r="T5" i="5"/>
  <c r="U5" i="5"/>
  <c r="V5" i="5"/>
  <c r="W5" i="5"/>
  <c r="X5" i="5"/>
  <c r="T6" i="5"/>
  <c r="U6" i="5"/>
  <c r="V6" i="5"/>
  <c r="W6" i="5"/>
  <c r="X6" i="5"/>
  <c r="T7" i="5"/>
  <c r="U7" i="5"/>
  <c r="V7" i="5"/>
  <c r="W7" i="5"/>
  <c r="X7" i="5"/>
  <c r="T8" i="5"/>
  <c r="U8" i="5"/>
  <c r="V8" i="5"/>
  <c r="W8" i="5"/>
  <c r="X8" i="5"/>
  <c r="T9" i="5"/>
  <c r="U9" i="5"/>
  <c r="V9" i="5"/>
  <c r="W9" i="5"/>
  <c r="X9" i="5"/>
  <c r="T10" i="5"/>
  <c r="U10" i="5"/>
  <c r="V10" i="5"/>
  <c r="W10" i="5"/>
  <c r="X10" i="5"/>
  <c r="T11" i="5"/>
  <c r="U11" i="5"/>
  <c r="V11" i="5"/>
  <c r="W11" i="5"/>
  <c r="X11" i="5"/>
  <c r="T12" i="5"/>
  <c r="U12" i="5"/>
  <c r="V12" i="5"/>
  <c r="W12" i="5"/>
  <c r="X12" i="5"/>
  <c r="T13" i="5"/>
  <c r="U13" i="5"/>
  <c r="V13" i="5"/>
  <c r="W13" i="5"/>
  <c r="X13" i="5"/>
  <c r="D15" i="5"/>
  <c r="E15" i="5"/>
  <c r="T8" i="14" s="1"/>
  <c r="W17" i="5"/>
  <c r="X17" i="5"/>
  <c r="W18" i="5"/>
  <c r="X18" i="5"/>
  <c r="W19" i="5"/>
  <c r="X19" i="5"/>
  <c r="W20" i="5"/>
  <c r="X20" i="5"/>
  <c r="W21" i="5"/>
  <c r="X21" i="5"/>
  <c r="W22" i="5"/>
  <c r="X22" i="5"/>
  <c r="W23" i="5"/>
  <c r="X23" i="5"/>
  <c r="W24" i="5"/>
  <c r="X24" i="5"/>
  <c r="W25" i="5"/>
  <c r="X25" i="5"/>
  <c r="W26" i="5"/>
  <c r="X26" i="5"/>
  <c r="D28" i="5"/>
  <c r="H8" i="14" s="1"/>
  <c r="E28" i="5"/>
  <c r="L32" i="5"/>
  <c r="L37" i="5"/>
  <c r="C41" i="5"/>
  <c r="I42" i="5"/>
  <c r="B1" i="6"/>
  <c r="E1" i="6"/>
  <c r="N1" i="6"/>
  <c r="V2" i="6"/>
  <c r="O3" i="6"/>
  <c r="T3" i="6"/>
  <c r="U3" i="6"/>
  <c r="V3" i="6"/>
  <c r="W3" i="6"/>
  <c r="X3" i="6"/>
  <c r="T4" i="6"/>
  <c r="U4" i="6"/>
  <c r="V4" i="6"/>
  <c r="W4" i="6"/>
  <c r="X4" i="6"/>
  <c r="T5" i="6"/>
  <c r="U5" i="6"/>
  <c r="V5" i="6"/>
  <c r="W5" i="6"/>
  <c r="X5" i="6"/>
  <c r="T6" i="6"/>
  <c r="U6" i="6"/>
  <c r="V6" i="6"/>
  <c r="W6" i="6"/>
  <c r="X6" i="6"/>
  <c r="T7" i="6"/>
  <c r="U7" i="6"/>
  <c r="V7" i="6"/>
  <c r="W7" i="6"/>
  <c r="X7" i="6"/>
  <c r="T8" i="6"/>
  <c r="U8" i="6"/>
  <c r="V8" i="6"/>
  <c r="W8" i="6"/>
  <c r="X8" i="6"/>
  <c r="T9" i="6"/>
  <c r="U9" i="6"/>
  <c r="V9" i="6"/>
  <c r="W9" i="6"/>
  <c r="X9" i="6"/>
  <c r="T10" i="6"/>
  <c r="U10" i="6"/>
  <c r="V10" i="6"/>
  <c r="W10" i="6"/>
  <c r="X10" i="6"/>
  <c r="T11" i="6"/>
  <c r="U11" i="6"/>
  <c r="V11" i="6"/>
  <c r="W11" i="6"/>
  <c r="X11" i="6"/>
  <c r="T12" i="6"/>
  <c r="U12" i="6"/>
  <c r="V12" i="6"/>
  <c r="W12" i="6"/>
  <c r="X12" i="6"/>
  <c r="T13" i="6"/>
  <c r="U13" i="6"/>
  <c r="V13" i="6"/>
  <c r="W13" i="6"/>
  <c r="X13" i="6"/>
  <c r="D15" i="6"/>
  <c r="C9" i="14" s="1"/>
  <c r="E15" i="6"/>
  <c r="T9" i="14" s="1"/>
  <c r="W17" i="6"/>
  <c r="X17" i="6"/>
  <c r="W18" i="6"/>
  <c r="X18" i="6"/>
  <c r="W19" i="6"/>
  <c r="X19" i="6"/>
  <c r="W20" i="6"/>
  <c r="X20" i="6"/>
  <c r="W21" i="6"/>
  <c r="X21" i="6"/>
  <c r="W22" i="6"/>
  <c r="X22" i="6"/>
  <c r="W23" i="6"/>
  <c r="X23" i="6"/>
  <c r="W24" i="6"/>
  <c r="X24" i="6"/>
  <c r="W25" i="6"/>
  <c r="X25" i="6"/>
  <c r="W26" i="6"/>
  <c r="X26" i="6"/>
  <c r="D28" i="6"/>
  <c r="H9" i="14" s="1"/>
  <c r="E28" i="6"/>
  <c r="L32" i="6"/>
  <c r="M32" i="6" s="1"/>
  <c r="L37" i="6"/>
  <c r="C41" i="6"/>
  <c r="I42" i="6"/>
  <c r="B1" i="7"/>
  <c r="E1" i="7"/>
  <c r="N1" i="7"/>
  <c r="V2" i="7"/>
  <c r="O3" i="7"/>
  <c r="T3" i="7"/>
  <c r="U3" i="7"/>
  <c r="V3" i="7"/>
  <c r="W3" i="7"/>
  <c r="X3" i="7"/>
  <c r="T4" i="7"/>
  <c r="U4" i="7"/>
  <c r="V4" i="7"/>
  <c r="W4" i="7"/>
  <c r="X4" i="7"/>
  <c r="T5" i="7"/>
  <c r="U5" i="7"/>
  <c r="V5" i="7"/>
  <c r="W5" i="7"/>
  <c r="X5" i="7"/>
  <c r="T6" i="7"/>
  <c r="U6" i="7"/>
  <c r="V6" i="7"/>
  <c r="W6" i="7"/>
  <c r="X6" i="7"/>
  <c r="T7" i="7"/>
  <c r="U7" i="7"/>
  <c r="V7" i="7"/>
  <c r="W7" i="7"/>
  <c r="X7" i="7"/>
  <c r="T8" i="7"/>
  <c r="U8" i="7"/>
  <c r="V8" i="7"/>
  <c r="W8" i="7"/>
  <c r="X8" i="7"/>
  <c r="T9" i="7"/>
  <c r="U9" i="7"/>
  <c r="V9" i="7"/>
  <c r="W9" i="7"/>
  <c r="X9" i="7"/>
  <c r="T10" i="7"/>
  <c r="U10" i="7"/>
  <c r="V10" i="7"/>
  <c r="W10" i="7"/>
  <c r="X10" i="7"/>
  <c r="T11" i="7"/>
  <c r="U11" i="7"/>
  <c r="V11" i="7"/>
  <c r="W11" i="7"/>
  <c r="X11" i="7"/>
  <c r="T12" i="7"/>
  <c r="U12" i="7"/>
  <c r="V12" i="7"/>
  <c r="W12" i="7"/>
  <c r="X12" i="7"/>
  <c r="T13" i="7"/>
  <c r="U13" i="7"/>
  <c r="V13" i="7"/>
  <c r="W13" i="7"/>
  <c r="X13" i="7"/>
  <c r="D15" i="7"/>
  <c r="C10" i="14" s="1"/>
  <c r="E15" i="7"/>
  <c r="T10" i="14" s="1"/>
  <c r="W17" i="7"/>
  <c r="X17" i="7"/>
  <c r="W18" i="7"/>
  <c r="X18" i="7"/>
  <c r="W19" i="7"/>
  <c r="X19" i="7"/>
  <c r="W20" i="7"/>
  <c r="X20" i="7"/>
  <c r="W21" i="7"/>
  <c r="X21" i="7"/>
  <c r="W22" i="7"/>
  <c r="X22" i="7"/>
  <c r="W23" i="7"/>
  <c r="X23" i="7"/>
  <c r="W24" i="7"/>
  <c r="X24" i="7"/>
  <c r="W25" i="7"/>
  <c r="X25" i="7"/>
  <c r="W26" i="7"/>
  <c r="X26" i="7"/>
  <c r="D28" i="7"/>
  <c r="H10" i="14" s="1"/>
  <c r="E28" i="7"/>
  <c r="L32" i="7"/>
  <c r="L37" i="7"/>
  <c r="C41" i="7"/>
  <c r="I42" i="7"/>
  <c r="B1" i="8"/>
  <c r="E1" i="8"/>
  <c r="N1" i="8"/>
  <c r="V2" i="8"/>
  <c r="O3" i="8"/>
  <c r="T3" i="8"/>
  <c r="U3" i="8"/>
  <c r="V3" i="8"/>
  <c r="W3" i="8"/>
  <c r="X3" i="8"/>
  <c r="T4" i="8"/>
  <c r="U4" i="8"/>
  <c r="V4" i="8"/>
  <c r="W4" i="8"/>
  <c r="X4" i="8"/>
  <c r="T5" i="8"/>
  <c r="U5" i="8"/>
  <c r="V5" i="8"/>
  <c r="W5" i="8"/>
  <c r="X5" i="8"/>
  <c r="T6" i="8"/>
  <c r="U6" i="8"/>
  <c r="V6" i="8"/>
  <c r="W6" i="8"/>
  <c r="X6" i="8"/>
  <c r="T7" i="8"/>
  <c r="U7" i="8"/>
  <c r="V7" i="8"/>
  <c r="W7" i="8"/>
  <c r="X7" i="8"/>
  <c r="T8" i="8"/>
  <c r="U8" i="8"/>
  <c r="V8" i="8"/>
  <c r="W8" i="8"/>
  <c r="X8" i="8"/>
  <c r="T9" i="8"/>
  <c r="U9" i="8"/>
  <c r="V9" i="8"/>
  <c r="W9" i="8"/>
  <c r="X9" i="8"/>
  <c r="T10" i="8"/>
  <c r="U10" i="8"/>
  <c r="V10" i="8"/>
  <c r="W10" i="8"/>
  <c r="X10" i="8"/>
  <c r="T11" i="8"/>
  <c r="U11" i="8"/>
  <c r="V11" i="8"/>
  <c r="W11" i="8"/>
  <c r="X11" i="8"/>
  <c r="T12" i="8"/>
  <c r="U12" i="8"/>
  <c r="V12" i="8"/>
  <c r="W12" i="8"/>
  <c r="X12" i="8"/>
  <c r="T13" i="8"/>
  <c r="U13" i="8"/>
  <c r="V13" i="8"/>
  <c r="W13" i="8"/>
  <c r="X13" i="8"/>
  <c r="D15" i="8"/>
  <c r="C11" i="14" s="1"/>
  <c r="E15" i="8"/>
  <c r="T11" i="14" s="1"/>
  <c r="W17" i="8"/>
  <c r="X17" i="8"/>
  <c r="W18" i="8"/>
  <c r="X18" i="8"/>
  <c r="W19" i="8"/>
  <c r="X19" i="8"/>
  <c r="W20" i="8"/>
  <c r="X20" i="8"/>
  <c r="W21" i="8"/>
  <c r="X21" i="8"/>
  <c r="W22" i="8"/>
  <c r="X22" i="8"/>
  <c r="W23" i="8"/>
  <c r="X23" i="8"/>
  <c r="W24" i="8"/>
  <c r="X24" i="8"/>
  <c r="W25" i="8"/>
  <c r="X25" i="8"/>
  <c r="W26" i="8"/>
  <c r="X26" i="8"/>
  <c r="D28" i="8"/>
  <c r="H11" i="14" s="1"/>
  <c r="E28" i="8"/>
  <c r="L32" i="8"/>
  <c r="L37" i="8"/>
  <c r="C41" i="8"/>
  <c r="I42" i="8"/>
  <c r="B1" i="9"/>
  <c r="E1" i="9"/>
  <c r="N1" i="9"/>
  <c r="V2" i="9"/>
  <c r="O3" i="9"/>
  <c r="T3" i="9"/>
  <c r="U3" i="9"/>
  <c r="V3" i="9"/>
  <c r="W3" i="9"/>
  <c r="X3" i="9"/>
  <c r="J15" i="9" s="1"/>
  <c r="T4" i="9"/>
  <c r="U4" i="9"/>
  <c r="V4" i="9"/>
  <c r="W4" i="9"/>
  <c r="X4" i="9"/>
  <c r="T5" i="9"/>
  <c r="U5" i="9"/>
  <c r="V5" i="9"/>
  <c r="W5" i="9"/>
  <c r="X5" i="9"/>
  <c r="T6" i="9"/>
  <c r="U6" i="9"/>
  <c r="V6" i="9"/>
  <c r="W6" i="9"/>
  <c r="X6" i="9"/>
  <c r="T7" i="9"/>
  <c r="U7" i="9"/>
  <c r="V7" i="9"/>
  <c r="W7" i="9"/>
  <c r="X7" i="9"/>
  <c r="T8" i="9"/>
  <c r="U8" i="9"/>
  <c r="V8" i="9"/>
  <c r="W8" i="9"/>
  <c r="X8" i="9"/>
  <c r="T9" i="9"/>
  <c r="U9" i="9"/>
  <c r="V9" i="9"/>
  <c r="W9" i="9"/>
  <c r="X9" i="9"/>
  <c r="T10" i="9"/>
  <c r="U10" i="9"/>
  <c r="V10" i="9"/>
  <c r="W10" i="9"/>
  <c r="X10" i="9"/>
  <c r="T11" i="9"/>
  <c r="U11" i="9"/>
  <c r="V11" i="9"/>
  <c r="W11" i="9"/>
  <c r="X11" i="9"/>
  <c r="T12" i="9"/>
  <c r="U12" i="9"/>
  <c r="V12" i="9"/>
  <c r="W12" i="9"/>
  <c r="X12" i="9"/>
  <c r="T13" i="9"/>
  <c r="U13" i="9"/>
  <c r="V13" i="9"/>
  <c r="W13" i="9"/>
  <c r="X13" i="9"/>
  <c r="D15" i="9"/>
  <c r="B12" i="14"/>
  <c r="E15" i="9"/>
  <c r="T12" i="14" s="1"/>
  <c r="W17" i="9"/>
  <c r="X17" i="9"/>
  <c r="W18" i="9"/>
  <c r="X18" i="9"/>
  <c r="W19" i="9"/>
  <c r="X19" i="9"/>
  <c r="W20" i="9"/>
  <c r="X20" i="9"/>
  <c r="W21" i="9"/>
  <c r="X21" i="9"/>
  <c r="W22" i="9"/>
  <c r="X22" i="9"/>
  <c r="W23" i="9"/>
  <c r="X23" i="9"/>
  <c r="W24" i="9"/>
  <c r="X24" i="9"/>
  <c r="W25" i="9"/>
  <c r="X25" i="9"/>
  <c r="W26" i="9"/>
  <c r="X26" i="9"/>
  <c r="D28" i="9"/>
  <c r="H12" i="14" s="1"/>
  <c r="E28" i="9"/>
  <c r="L32" i="9"/>
  <c r="L37" i="9"/>
  <c r="C41" i="9"/>
  <c r="I42" i="9"/>
  <c r="B1" i="10"/>
  <c r="E1" i="10"/>
  <c r="N1" i="10"/>
  <c r="V2" i="10"/>
  <c r="O3" i="10"/>
  <c r="T3" i="10"/>
  <c r="U3" i="10"/>
  <c r="V3" i="10"/>
  <c r="W3" i="10"/>
  <c r="X3" i="10"/>
  <c r="T4" i="10"/>
  <c r="U4" i="10"/>
  <c r="V4" i="10"/>
  <c r="W4" i="10"/>
  <c r="X4" i="10"/>
  <c r="T5" i="10"/>
  <c r="U5" i="10"/>
  <c r="V5" i="10"/>
  <c r="W5" i="10"/>
  <c r="X5" i="10"/>
  <c r="T6" i="10"/>
  <c r="U6" i="10"/>
  <c r="V6" i="10"/>
  <c r="W6" i="10"/>
  <c r="X6" i="10"/>
  <c r="T7" i="10"/>
  <c r="U7" i="10"/>
  <c r="V7" i="10"/>
  <c r="W7" i="10"/>
  <c r="X7" i="10"/>
  <c r="T8" i="10"/>
  <c r="U8" i="10"/>
  <c r="V8" i="10"/>
  <c r="W8" i="10"/>
  <c r="X8" i="10"/>
  <c r="T9" i="10"/>
  <c r="U9" i="10"/>
  <c r="V9" i="10"/>
  <c r="W9" i="10"/>
  <c r="X9" i="10"/>
  <c r="T10" i="10"/>
  <c r="U10" i="10"/>
  <c r="V10" i="10"/>
  <c r="W10" i="10"/>
  <c r="X10" i="10"/>
  <c r="T11" i="10"/>
  <c r="U11" i="10"/>
  <c r="V11" i="10"/>
  <c r="W11" i="10"/>
  <c r="X11" i="10"/>
  <c r="T12" i="10"/>
  <c r="U12" i="10"/>
  <c r="V12" i="10"/>
  <c r="W12" i="10"/>
  <c r="X12" i="10"/>
  <c r="T13" i="10"/>
  <c r="U13" i="10"/>
  <c r="V13" i="10"/>
  <c r="W13" i="10"/>
  <c r="X13" i="10"/>
  <c r="D15" i="10"/>
  <c r="B13" i="14" s="1"/>
  <c r="E15" i="10"/>
  <c r="T13" i="14" s="1"/>
  <c r="W17" i="10"/>
  <c r="X17" i="10"/>
  <c r="W18" i="10"/>
  <c r="X18" i="10"/>
  <c r="W19" i="10"/>
  <c r="X19" i="10"/>
  <c r="W20" i="10"/>
  <c r="X20" i="10"/>
  <c r="W21" i="10"/>
  <c r="X21" i="10"/>
  <c r="W22" i="10"/>
  <c r="X22" i="10"/>
  <c r="W23" i="10"/>
  <c r="X23" i="10"/>
  <c r="W24" i="10"/>
  <c r="X24" i="10"/>
  <c r="W25" i="10"/>
  <c r="X25" i="10"/>
  <c r="W26" i="10"/>
  <c r="X26" i="10"/>
  <c r="D28" i="10"/>
  <c r="H13" i="14" s="1"/>
  <c r="E28" i="10"/>
  <c r="L32" i="10"/>
  <c r="M32" i="10" s="1"/>
  <c r="L37" i="10"/>
  <c r="C41" i="10"/>
  <c r="I42" i="10"/>
  <c r="B1" i="15"/>
  <c r="F1" i="15"/>
  <c r="P1" i="15"/>
  <c r="E7" i="15"/>
  <c r="M7" i="15"/>
  <c r="N7" i="15" s="1"/>
  <c r="N10" i="15" s="1"/>
  <c r="B1" i="14"/>
  <c r="F1" i="14"/>
  <c r="O1" i="14"/>
  <c r="A5" i="14"/>
  <c r="S5" i="14" s="1"/>
  <c r="I5" i="14"/>
  <c r="J5" i="14"/>
  <c r="K5" i="14"/>
  <c r="L5" i="14"/>
  <c r="M5" i="14"/>
  <c r="A6" i="14"/>
  <c r="S6" i="14" s="1"/>
  <c r="I6" i="14"/>
  <c r="J6" i="14"/>
  <c r="K6" i="14"/>
  <c r="L6" i="14"/>
  <c r="M6" i="14"/>
  <c r="A7" i="14"/>
  <c r="S7" i="14" s="1"/>
  <c r="I7" i="14"/>
  <c r="J7" i="14"/>
  <c r="K7" i="14"/>
  <c r="L7" i="14"/>
  <c r="M7" i="14"/>
  <c r="A8" i="14"/>
  <c r="S8" i="14" s="1"/>
  <c r="I8" i="14"/>
  <c r="J8" i="14"/>
  <c r="K8" i="14"/>
  <c r="L8" i="14"/>
  <c r="M8" i="14"/>
  <c r="A9" i="14"/>
  <c r="S9" i="14" s="1"/>
  <c r="I9" i="14"/>
  <c r="J9" i="14"/>
  <c r="K9" i="14"/>
  <c r="L9" i="14"/>
  <c r="M9" i="14"/>
  <c r="A10" i="14"/>
  <c r="S10" i="14" s="1"/>
  <c r="I10" i="14"/>
  <c r="J10" i="14"/>
  <c r="K10" i="14"/>
  <c r="L10" i="14"/>
  <c r="M10" i="14"/>
  <c r="A11" i="14"/>
  <c r="S11" i="14" s="1"/>
  <c r="I11" i="14"/>
  <c r="J11" i="14"/>
  <c r="K11" i="14"/>
  <c r="L11" i="14"/>
  <c r="M11" i="14"/>
  <c r="A12" i="14"/>
  <c r="S12" i="14" s="1"/>
  <c r="I12" i="14"/>
  <c r="J12" i="14"/>
  <c r="K12" i="14"/>
  <c r="L12" i="14"/>
  <c r="M12" i="14"/>
  <c r="A13" i="14"/>
  <c r="S13" i="14" s="1"/>
  <c r="I13" i="14"/>
  <c r="J13" i="14"/>
  <c r="K13" i="14"/>
  <c r="L13" i="14"/>
  <c r="M13" i="14"/>
  <c r="A14" i="14"/>
  <c r="S14" i="14" s="1"/>
  <c r="I14" i="14"/>
  <c r="J14" i="14"/>
  <c r="K14" i="14"/>
  <c r="L14" i="14"/>
  <c r="M14" i="14"/>
  <c r="A15" i="14"/>
  <c r="S15" i="14" s="1"/>
  <c r="I15" i="14"/>
  <c r="J15" i="14"/>
  <c r="K15" i="14"/>
  <c r="L15" i="14"/>
  <c r="M15" i="14"/>
  <c r="A16" i="14"/>
  <c r="S16" i="14" s="1"/>
  <c r="I16" i="14"/>
  <c r="J16" i="14"/>
  <c r="K16" i="14"/>
  <c r="L16" i="14"/>
  <c r="M16" i="14"/>
  <c r="F43" i="14"/>
  <c r="O44" i="14"/>
  <c r="O45" i="14" s="1"/>
  <c r="O46" i="14" s="1"/>
  <c r="F63" i="14"/>
  <c r="F64" i="14"/>
  <c r="M64" i="14"/>
  <c r="F65" i="14"/>
  <c r="F66" i="14"/>
  <c r="F68" i="14"/>
  <c r="F69" i="14"/>
  <c r="F77" i="14"/>
  <c r="O77" i="14"/>
  <c r="B1" i="17"/>
  <c r="F1" i="17"/>
  <c r="Q1" i="17"/>
  <c r="G3" i="17"/>
  <c r="G4" i="17" s="1"/>
  <c r="G5" i="17" s="1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K3" i="17"/>
  <c r="K27" i="33" s="1"/>
  <c r="P3" i="17"/>
  <c r="K36" i="5" s="1"/>
  <c r="S3" i="17"/>
  <c r="S4" i="17" s="1"/>
  <c r="S5" i="17" s="1"/>
  <c r="S6" i="17" s="1"/>
  <c r="S7" i="17" s="1"/>
  <c r="S8" i="17" s="1"/>
  <c r="S9" i="17" s="1"/>
  <c r="S10" i="17" s="1"/>
  <c r="S11" i="17" s="1"/>
  <c r="S12" i="17" s="1"/>
  <c r="S13" i="17" s="1"/>
  <c r="S14" i="17" s="1"/>
  <c r="S15" i="17" s="1"/>
  <c r="S16" i="17" s="1"/>
  <c r="S17" i="17" s="1"/>
  <c r="S18" i="17" s="1"/>
  <c r="S19" i="17" s="1"/>
  <c r="S20" i="17" s="1"/>
  <c r="S21" i="17" s="1"/>
  <c r="S22" i="17" s="1"/>
  <c r="S23" i="17" s="1"/>
  <c r="S24" i="17" s="1"/>
  <c r="S25" i="17" s="1"/>
  <c r="S26" i="17" s="1"/>
  <c r="S27" i="17" s="1"/>
  <c r="V3" i="17"/>
  <c r="V4" i="17" s="1"/>
  <c r="X3" i="17"/>
  <c r="X4" i="17" s="1"/>
  <c r="X5" i="17" s="1"/>
  <c r="X6" i="17" s="1"/>
  <c r="X7" i="17" s="1"/>
  <c r="X8" i="17" s="1"/>
  <c r="X9" i="17" s="1"/>
  <c r="X10" i="17" s="1"/>
  <c r="X11" i="17" s="1"/>
  <c r="X12" i="17" s="1"/>
  <c r="X13" i="17" s="1"/>
  <c r="F30" i="17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F41" i="17" s="1"/>
  <c r="F42" i="17" s="1"/>
  <c r="F43" i="17" s="1"/>
  <c r="F44" i="17" s="1"/>
  <c r="F45" i="17" s="1"/>
  <c r="F46" i="17" s="1"/>
  <c r="F47" i="17" s="1"/>
  <c r="F48" i="17" s="1"/>
  <c r="F49" i="17" s="1"/>
  <c r="F50" i="17" s="1"/>
  <c r="F51" i="17" s="1"/>
  <c r="F52" i="17" s="1"/>
  <c r="F53" i="17" s="1"/>
  <c r="F54" i="17" s="1"/>
  <c r="M30" i="17"/>
  <c r="M31" i="17" s="1"/>
  <c r="M32" i="17" s="1"/>
  <c r="M33" i="17" s="1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M45" i="17" s="1"/>
  <c r="M46" i="17" s="1"/>
  <c r="M47" i="17" s="1"/>
  <c r="M48" i="17" s="1"/>
  <c r="M49" i="17" s="1"/>
  <c r="M50" i="17" s="1"/>
  <c r="M51" i="17" s="1"/>
  <c r="M52" i="17" s="1"/>
  <c r="M53" i="17" s="1"/>
  <c r="M54" i="17" s="1"/>
  <c r="T32" i="17"/>
  <c r="T33" i="17" s="1"/>
  <c r="T34" i="17" s="1"/>
  <c r="T35" i="17" s="1"/>
  <c r="T36" i="17" s="1"/>
  <c r="T37" i="17" s="1"/>
  <c r="T38" i="17" s="1"/>
  <c r="T39" i="17" s="1"/>
  <c r="T40" i="17" s="1"/>
  <c r="T41" i="17" s="1"/>
  <c r="T42" i="17" s="1"/>
  <c r="T43" i="17" s="1"/>
  <c r="T44" i="17" s="1"/>
  <c r="T45" i="17" s="1"/>
  <c r="T46" i="17" s="1"/>
  <c r="T47" i="17" s="1"/>
  <c r="T48" i="17" s="1"/>
  <c r="T49" i="17" s="1"/>
  <c r="T50" i="17" s="1"/>
  <c r="T51" i="17" s="1"/>
  <c r="T52" i="17" s="1"/>
  <c r="T53" i="17" s="1"/>
  <c r="T54" i="17" s="1"/>
  <c r="E61" i="17"/>
  <c r="K32" i="25" s="1"/>
  <c r="E62" i="17"/>
  <c r="O6" i="1"/>
  <c r="B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5" i="1" s="1"/>
  <c r="A36" i="1" s="1"/>
  <c r="A38" i="1" s="1"/>
  <c r="A39" i="1" s="1"/>
  <c r="A40" i="1" s="1"/>
  <c r="A41" i="1" s="1"/>
  <c r="A42" i="1" s="1"/>
  <c r="A43" i="1" s="1"/>
  <c r="A44" i="1" s="1"/>
  <c r="B9" i="1"/>
  <c r="B10" i="1"/>
  <c r="B11" i="1"/>
  <c r="B12" i="1"/>
  <c r="B13" i="1"/>
  <c r="B14" i="1"/>
  <c r="B15" i="1"/>
  <c r="B16" i="1"/>
  <c r="B17" i="1"/>
  <c r="B18" i="1"/>
  <c r="B39" i="1"/>
  <c r="B9" i="14"/>
  <c r="C27" i="14"/>
  <c r="B26" i="14"/>
  <c r="B25" i="14"/>
  <c r="B22" i="14"/>
  <c r="T18" i="14"/>
  <c r="B17" i="14"/>
  <c r="C12" i="14"/>
  <c r="B11" i="14"/>
  <c r="O64" i="14"/>
  <c r="O65" i="14" s="1"/>
  <c r="O66" i="14" s="1"/>
  <c r="O67" i="14" s="1"/>
  <c r="O68" i="14" s="1"/>
  <c r="O69" i="14" s="1"/>
  <c r="K32" i="28"/>
  <c r="M32" i="9" l="1"/>
  <c r="N32" i="9" s="1"/>
  <c r="M32" i="13"/>
  <c r="J15" i="6"/>
  <c r="C18" i="14"/>
  <c r="F15" i="31"/>
  <c r="N26" i="14" s="1"/>
  <c r="G15" i="32"/>
  <c r="D27" i="14" s="1"/>
  <c r="F15" i="32"/>
  <c r="N27" i="14" s="1"/>
  <c r="J15" i="32"/>
  <c r="I15" i="32"/>
  <c r="F27" i="14" s="1"/>
  <c r="J28" i="32"/>
  <c r="K32" i="26"/>
  <c r="C14" i="14"/>
  <c r="K27" i="26"/>
  <c r="B21" i="14"/>
  <c r="M37" i="9"/>
  <c r="J28" i="9"/>
  <c r="J28" i="23"/>
  <c r="J15" i="27"/>
  <c r="I28" i="30"/>
  <c r="G25" i="14" s="1"/>
  <c r="C29" i="14"/>
  <c r="K14" i="7"/>
  <c r="K14" i="30"/>
  <c r="K36" i="2"/>
  <c r="K36" i="4"/>
  <c r="L27" i="10"/>
  <c r="L27" i="2"/>
  <c r="L27" i="34"/>
  <c r="H15" i="27"/>
  <c r="E22" i="14" s="1"/>
  <c r="G15" i="27"/>
  <c r="D22" i="14" s="1"/>
  <c r="J15" i="28"/>
  <c r="O23" i="14" s="1"/>
  <c r="I15" i="30"/>
  <c r="F25" i="14" s="1"/>
  <c r="H15" i="30"/>
  <c r="E25" i="14" s="1"/>
  <c r="J28" i="12"/>
  <c r="I15" i="11"/>
  <c r="F14" i="14" s="1"/>
  <c r="C3" i="17"/>
  <c r="I28" i="22"/>
  <c r="G17" i="14" s="1"/>
  <c r="J15" i="24"/>
  <c r="G15" i="28"/>
  <c r="D23" i="14" s="1"/>
  <c r="J28" i="28"/>
  <c r="I15" i="34"/>
  <c r="F29" i="14" s="1"/>
  <c r="H15" i="34"/>
  <c r="E29" i="14" s="1"/>
  <c r="K30" i="33"/>
  <c r="I15" i="10"/>
  <c r="F13" i="14" s="1"/>
  <c r="G15" i="8"/>
  <c r="D11" i="14" s="1"/>
  <c r="G15" i="24"/>
  <c r="D19" i="14" s="1"/>
  <c r="F15" i="25"/>
  <c r="N20" i="14" s="1"/>
  <c r="I28" i="25"/>
  <c r="G20" i="14" s="1"/>
  <c r="M37" i="26"/>
  <c r="J15" i="34"/>
  <c r="L35" i="13"/>
  <c r="M35" i="13" s="1"/>
  <c r="N35" i="13" s="1"/>
  <c r="L35" i="24"/>
  <c r="H15" i="13"/>
  <c r="E16" i="14" s="1"/>
  <c r="I15" i="12"/>
  <c r="F15" i="14" s="1"/>
  <c r="O27" i="14"/>
  <c r="L27" i="31"/>
  <c r="K14" i="9"/>
  <c r="K36" i="13"/>
  <c r="K36" i="23"/>
  <c r="F15" i="9"/>
  <c r="N12" i="14" s="1"/>
  <c r="I15" i="22"/>
  <c r="F17" i="14" s="1"/>
  <c r="J15" i="26"/>
  <c r="G15" i="26"/>
  <c r="D21" i="14" s="1"/>
  <c r="I15" i="27"/>
  <c r="F22" i="14" s="1"/>
  <c r="J28" i="29"/>
  <c r="F15" i="34"/>
  <c r="N29" i="14" s="1"/>
  <c r="G15" i="34"/>
  <c r="D29" i="14" s="1"/>
  <c r="L27" i="12"/>
  <c r="K14" i="24"/>
  <c r="K14" i="32"/>
  <c r="K14" i="23"/>
  <c r="B19" i="14"/>
  <c r="B24" i="14"/>
  <c r="K36" i="26"/>
  <c r="K36" i="34"/>
  <c r="L27" i="6"/>
  <c r="K32" i="2"/>
  <c r="N32" i="2" s="1"/>
  <c r="B15" i="14"/>
  <c r="I15" i="8"/>
  <c r="F11" i="14" s="1"/>
  <c r="J3" i="17"/>
  <c r="H15" i="26"/>
  <c r="E21" i="14" s="1"/>
  <c r="F15" i="27"/>
  <c r="N22" i="14" s="1"/>
  <c r="F15" i="28"/>
  <c r="N23" i="14" s="1"/>
  <c r="B23" i="14"/>
  <c r="J15" i="29"/>
  <c r="O24" i="14" s="1"/>
  <c r="M32" i="29"/>
  <c r="J28" i="30"/>
  <c r="I15" i="31"/>
  <c r="F26" i="14" s="1"/>
  <c r="G15" i="31"/>
  <c r="D26" i="14" s="1"/>
  <c r="G15" i="33"/>
  <c r="D28" i="14" s="1"/>
  <c r="F15" i="33"/>
  <c r="N28" i="14" s="1"/>
  <c r="J15" i="33"/>
  <c r="H15" i="33"/>
  <c r="E28" i="14" s="1"/>
  <c r="I28" i="5"/>
  <c r="G8" i="14" s="1"/>
  <c r="G15" i="5"/>
  <c r="D8" i="14" s="1"/>
  <c r="I15" i="13"/>
  <c r="F16" i="14" s="1"/>
  <c r="L27" i="27"/>
  <c r="K35" i="11"/>
  <c r="K14" i="10"/>
  <c r="I15" i="9"/>
  <c r="F12" i="14" s="1"/>
  <c r="H15" i="22"/>
  <c r="E17" i="14" s="1"/>
  <c r="L27" i="25"/>
  <c r="K14" i="29"/>
  <c r="C28" i="14"/>
  <c r="K36" i="11"/>
  <c r="L27" i="5"/>
  <c r="M37" i="10"/>
  <c r="J28" i="10"/>
  <c r="I28" i="9"/>
  <c r="G12" i="14" s="1"/>
  <c r="H15" i="8"/>
  <c r="E11" i="14" s="1"/>
  <c r="J15" i="12"/>
  <c r="O15" i="14" s="1"/>
  <c r="J30" i="17"/>
  <c r="I15" i="23"/>
  <c r="F18" i="14" s="1"/>
  <c r="H15" i="23"/>
  <c r="E18" i="14" s="1"/>
  <c r="G15" i="23"/>
  <c r="D18" i="14" s="1"/>
  <c r="F15" i="24"/>
  <c r="N19" i="14" s="1"/>
  <c r="J28" i="24"/>
  <c r="G15" i="25"/>
  <c r="D20" i="14" s="1"/>
  <c r="J15" i="25"/>
  <c r="I15" i="25"/>
  <c r="F20" i="14" s="1"/>
  <c r="H15" i="25"/>
  <c r="E20" i="14" s="1"/>
  <c r="I15" i="26"/>
  <c r="F21" i="14" s="1"/>
  <c r="J28" i="27"/>
  <c r="O22" i="14" s="1"/>
  <c r="I15" i="28"/>
  <c r="F23" i="14" s="1"/>
  <c r="I15" i="29"/>
  <c r="F24" i="14" s="1"/>
  <c r="H15" i="29"/>
  <c r="E24" i="14" s="1"/>
  <c r="J15" i="7"/>
  <c r="F15" i="7"/>
  <c r="N10" i="14" s="1"/>
  <c r="I28" i="26"/>
  <c r="G21" i="14" s="1"/>
  <c r="B20" i="14"/>
  <c r="H15" i="10"/>
  <c r="E13" i="14" s="1"/>
  <c r="L35" i="2"/>
  <c r="M35" i="2" s="1"/>
  <c r="L35" i="5"/>
  <c r="M35" i="5" s="1"/>
  <c r="C13" i="14"/>
  <c r="J15" i="10"/>
  <c r="O13" i="14" s="1"/>
  <c r="F15" i="8"/>
  <c r="N11" i="14" s="1"/>
  <c r="G15" i="13"/>
  <c r="D16" i="14" s="1"/>
  <c r="J15" i="11"/>
  <c r="F15" i="11"/>
  <c r="N14" i="14" s="1"/>
  <c r="G15" i="11"/>
  <c r="D14" i="14" s="1"/>
  <c r="K30" i="5"/>
  <c r="K30" i="9"/>
  <c r="K30" i="27"/>
  <c r="K30" i="7"/>
  <c r="C30" i="17"/>
  <c r="L3" i="9" s="1"/>
  <c r="M3" i="9" s="1"/>
  <c r="J15" i="22"/>
  <c r="F15" i="23"/>
  <c r="N18" i="14" s="1"/>
  <c r="H15" i="24"/>
  <c r="E19" i="14" s="1"/>
  <c r="J15" i="30"/>
  <c r="O25" i="14" s="1"/>
  <c r="J28" i="31"/>
  <c r="O26" i="14" s="1"/>
  <c r="H15" i="32"/>
  <c r="E27" i="14" s="1"/>
  <c r="I28" i="32"/>
  <c r="G27" i="14" s="1"/>
  <c r="J28" i="33"/>
  <c r="O28" i="14" s="1"/>
  <c r="H15" i="12"/>
  <c r="E15" i="14" s="1"/>
  <c r="G31" i="20"/>
  <c r="G32" i="20" s="1"/>
  <c r="H30" i="20"/>
  <c r="F15" i="10"/>
  <c r="N13" i="14" s="1"/>
  <c r="O12" i="14"/>
  <c r="G15" i="9"/>
  <c r="D12" i="14" s="1"/>
  <c r="J28" i="5"/>
  <c r="J15" i="5"/>
  <c r="J15" i="13"/>
  <c r="F15" i="13"/>
  <c r="N16" i="14" s="1"/>
  <c r="I28" i="12"/>
  <c r="G15" i="14" s="1"/>
  <c r="G15" i="12"/>
  <c r="D15" i="14" s="1"/>
  <c r="F15" i="22"/>
  <c r="N17" i="14" s="1"/>
  <c r="J15" i="23"/>
  <c r="H15" i="28"/>
  <c r="E23" i="14" s="1"/>
  <c r="F15" i="30"/>
  <c r="N25" i="14" s="1"/>
  <c r="I15" i="33"/>
  <c r="F28" i="14" s="1"/>
  <c r="I28" i="10"/>
  <c r="G13" i="14" s="1"/>
  <c r="G15" i="10"/>
  <c r="D13" i="14" s="1"/>
  <c r="B10" i="14"/>
  <c r="H15" i="9"/>
  <c r="E12" i="14" s="1"/>
  <c r="M37" i="8"/>
  <c r="J28" i="8"/>
  <c r="J15" i="8"/>
  <c r="G15" i="7"/>
  <c r="D10" i="14" s="1"/>
  <c r="C8" i="14"/>
  <c r="B8" i="14"/>
  <c r="H15" i="5"/>
  <c r="E8" i="14" s="1"/>
  <c r="C7" i="14"/>
  <c r="B7" i="14"/>
  <c r="M32" i="12"/>
  <c r="F15" i="12"/>
  <c r="N15" i="14" s="1"/>
  <c r="M37" i="11"/>
  <c r="J28" i="11"/>
  <c r="H15" i="11"/>
  <c r="E14" i="14" s="1"/>
  <c r="G15" i="22"/>
  <c r="D17" i="14" s="1"/>
  <c r="I15" i="24"/>
  <c r="F19" i="14" s="1"/>
  <c r="F15" i="26"/>
  <c r="N21" i="14" s="1"/>
  <c r="F15" i="29"/>
  <c r="N24" i="14" s="1"/>
  <c r="G15" i="29"/>
  <c r="D24" i="14" s="1"/>
  <c r="G15" i="30"/>
  <c r="D25" i="14" s="1"/>
  <c r="H15" i="31"/>
  <c r="E26" i="14" s="1"/>
  <c r="K36" i="8"/>
  <c r="L27" i="23"/>
  <c r="K31" i="17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M37" i="6"/>
  <c r="J28" i="6"/>
  <c r="O9" i="14" s="1"/>
  <c r="J28" i="13"/>
  <c r="M37" i="12"/>
  <c r="N37" i="12" s="1"/>
  <c r="I28" i="23"/>
  <c r="G18" i="14" s="1"/>
  <c r="M32" i="23"/>
  <c r="J28" i="25"/>
  <c r="M37" i="25"/>
  <c r="I28" i="27"/>
  <c r="G22" i="14" s="1"/>
  <c r="M32" i="27"/>
  <c r="I28" i="31"/>
  <c r="G26" i="14" s="1"/>
  <c r="I28" i="33"/>
  <c r="G28" i="14" s="1"/>
  <c r="J28" i="34"/>
  <c r="O29" i="14" s="1"/>
  <c r="J28" i="22"/>
  <c r="O17" i="14" s="1"/>
  <c r="J28" i="26"/>
  <c r="I28" i="29"/>
  <c r="G24" i="14" s="1"/>
  <c r="D43" i="35"/>
  <c r="I29" i="35" s="1"/>
  <c r="L27" i="13"/>
  <c r="L27" i="32"/>
  <c r="K36" i="32"/>
  <c r="K37" i="32"/>
  <c r="K37" i="28"/>
  <c r="K37" i="24"/>
  <c r="K37" i="12"/>
  <c r="K37" i="8"/>
  <c r="N37" i="8" s="1"/>
  <c r="K37" i="4"/>
  <c r="K37" i="30"/>
  <c r="K37" i="22"/>
  <c r="K37" i="10"/>
  <c r="K37" i="2"/>
  <c r="N37" i="2" s="1"/>
  <c r="K37" i="29"/>
  <c r="K37" i="13"/>
  <c r="K37" i="5"/>
  <c r="K37" i="31"/>
  <c r="K37" i="27"/>
  <c r="K37" i="23"/>
  <c r="K37" i="11"/>
  <c r="K37" i="7"/>
  <c r="K37" i="3"/>
  <c r="K37" i="34"/>
  <c r="K37" i="26"/>
  <c r="K37" i="6"/>
  <c r="K37" i="33"/>
  <c r="K37" i="25"/>
  <c r="K37" i="9"/>
  <c r="N37" i="9" s="1"/>
  <c r="O47" i="14"/>
  <c r="O48" i="14" s="1"/>
  <c r="O49" i="14" s="1"/>
  <c r="O50" i="14" s="1"/>
  <c r="O51" i="14" s="1"/>
  <c r="O52" i="14" s="1"/>
  <c r="O53" i="14" s="1"/>
  <c r="O54" i="14" s="1"/>
  <c r="O55" i="14" s="1"/>
  <c r="O56" i="14" s="1"/>
  <c r="O57" i="14" s="1"/>
  <c r="O58" i="14" s="1"/>
  <c r="O72" i="14" s="1"/>
  <c r="I28" i="8"/>
  <c r="G11" i="14" s="1"/>
  <c r="I28" i="24"/>
  <c r="G19" i="14" s="1"/>
  <c r="I28" i="28"/>
  <c r="G23" i="14" s="1"/>
  <c r="I28" i="34"/>
  <c r="G29" i="14" s="1"/>
  <c r="I28" i="4"/>
  <c r="G7" i="14" s="1"/>
  <c r="J28" i="3"/>
  <c r="M37" i="4"/>
  <c r="M37" i="3"/>
  <c r="M32" i="31"/>
  <c r="M32" i="33"/>
  <c r="M32" i="26"/>
  <c r="H15" i="7"/>
  <c r="E10" i="14" s="1"/>
  <c r="I15" i="6"/>
  <c r="F9" i="14" s="1"/>
  <c r="G15" i="6"/>
  <c r="D9" i="14" s="1"/>
  <c r="H15" i="6"/>
  <c r="E9" i="14" s="1"/>
  <c r="F15" i="6"/>
  <c r="N9" i="14" s="1"/>
  <c r="I15" i="5"/>
  <c r="F8" i="14" s="1"/>
  <c r="F15" i="5"/>
  <c r="N8" i="14" s="1"/>
  <c r="I15" i="3"/>
  <c r="F6" i="14" s="1"/>
  <c r="F15" i="3"/>
  <c r="N6" i="14" s="1"/>
  <c r="J28" i="7"/>
  <c r="I15" i="7"/>
  <c r="F10" i="14" s="1"/>
  <c r="I28" i="6"/>
  <c r="G9" i="14" s="1"/>
  <c r="I15" i="4"/>
  <c r="F7" i="14" s="1"/>
  <c r="G15" i="4"/>
  <c r="D7" i="14" s="1"/>
  <c r="J15" i="4"/>
  <c r="H15" i="4"/>
  <c r="E7" i="14" s="1"/>
  <c r="F15" i="4"/>
  <c r="N7" i="14" s="1"/>
  <c r="H15" i="3"/>
  <c r="E6" i="14" s="1"/>
  <c r="J15" i="3"/>
  <c r="G15" i="3"/>
  <c r="D6" i="14" s="1"/>
  <c r="I28" i="7"/>
  <c r="G10" i="14" s="1"/>
  <c r="M32" i="34"/>
  <c r="M37" i="5"/>
  <c r="M37" i="13"/>
  <c r="N37" i="13" s="1"/>
  <c r="M32" i="22"/>
  <c r="M37" i="23"/>
  <c r="M37" i="27"/>
  <c r="M37" i="31"/>
  <c r="M32" i="32"/>
  <c r="M37" i="33"/>
  <c r="M37" i="34"/>
  <c r="N37" i="34" s="1"/>
  <c r="M37" i="28"/>
  <c r="M32" i="7"/>
  <c r="M37" i="22"/>
  <c r="N37" i="22" s="1"/>
  <c r="M32" i="30"/>
  <c r="M37" i="32"/>
  <c r="N37" i="32" s="1"/>
  <c r="M30" i="3"/>
  <c r="M32" i="8"/>
  <c r="M32" i="5"/>
  <c r="M32" i="11"/>
  <c r="M32" i="24"/>
  <c r="M32" i="25"/>
  <c r="N32" i="25" s="1"/>
  <c r="M32" i="28"/>
  <c r="N32" i="28" s="1"/>
  <c r="M37" i="29"/>
  <c r="M37" i="30"/>
  <c r="N37" i="30" s="1"/>
  <c r="D35" i="15"/>
  <c r="F35" i="15" s="1"/>
  <c r="G73" i="1" s="1"/>
  <c r="D34" i="15"/>
  <c r="I35" i="20"/>
  <c r="C6" i="14"/>
  <c r="N11" i="15"/>
  <c r="L14" i="15" s="1"/>
  <c r="B23" i="15"/>
  <c r="F32" i="20" s="1"/>
  <c r="E9" i="15"/>
  <c r="J15" i="2"/>
  <c r="F15" i="2"/>
  <c r="N5" i="14" s="1"/>
  <c r="E13" i="15"/>
  <c r="E18" i="15"/>
  <c r="J28" i="4"/>
  <c r="I28" i="3"/>
  <c r="G6" i="14" s="1"/>
  <c r="C10" i="35"/>
  <c r="I28" i="2"/>
  <c r="G5" i="14" s="1"/>
  <c r="J28" i="2"/>
  <c r="G15" i="2"/>
  <c r="D5" i="14" s="1"/>
  <c r="I15" i="2"/>
  <c r="F5" i="14" s="1"/>
  <c r="F31" i="20"/>
  <c r="K35" i="4"/>
  <c r="K27" i="4"/>
  <c r="K27" i="9"/>
  <c r="K32" i="6"/>
  <c r="N32" i="6" s="1"/>
  <c r="K35" i="5"/>
  <c r="K14" i="26"/>
  <c r="K14" i="34"/>
  <c r="K14" i="33"/>
  <c r="K17" i="23"/>
  <c r="K30" i="23"/>
  <c r="K30" i="30"/>
  <c r="K27" i="28"/>
  <c r="K35" i="33"/>
  <c r="L35" i="30"/>
  <c r="M35" i="30" s="1"/>
  <c r="L35" i="7"/>
  <c r="M35" i="7" s="1"/>
  <c r="B4" i="17"/>
  <c r="B5" i="17" s="1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K14" i="11"/>
  <c r="K17" i="12"/>
  <c r="K30" i="28"/>
  <c r="K34" i="8"/>
  <c r="K3" i="4"/>
  <c r="L34" i="24"/>
  <c r="M34" i="24" s="1"/>
  <c r="O31" i="17"/>
  <c r="O32" i="17" s="1"/>
  <c r="O33" i="17" s="1"/>
  <c r="O34" i="17" s="1"/>
  <c r="O35" i="17" s="1"/>
  <c r="O36" i="17" s="1"/>
  <c r="O37" i="17" s="1"/>
  <c r="O38" i="17" s="1"/>
  <c r="O39" i="17" s="1"/>
  <c r="O40" i="17" s="1"/>
  <c r="O41" i="17" s="1"/>
  <c r="O42" i="17" s="1"/>
  <c r="O43" i="17" s="1"/>
  <c r="O44" i="17" s="1"/>
  <c r="O45" i="17" s="1"/>
  <c r="O46" i="17" s="1"/>
  <c r="O47" i="17" s="1"/>
  <c r="O48" i="17" s="1"/>
  <c r="O49" i="17" s="1"/>
  <c r="O50" i="17" s="1"/>
  <c r="O51" i="17" s="1"/>
  <c r="O52" i="17" s="1"/>
  <c r="O53" i="17" s="1"/>
  <c r="O54" i="17" s="1"/>
  <c r="L34" i="23"/>
  <c r="M34" i="23" s="1"/>
  <c r="L17" i="26"/>
  <c r="M17" i="26" s="1"/>
  <c r="J31" i="17"/>
  <c r="J32" i="17" s="1"/>
  <c r="J33" i="17" s="1"/>
  <c r="L17" i="4"/>
  <c r="M17" i="4" s="1"/>
  <c r="K35" i="24"/>
  <c r="P4" i="17"/>
  <c r="P5" i="17" s="1"/>
  <c r="P6" i="17" s="1"/>
  <c r="P7" i="17" s="1"/>
  <c r="P8" i="17" s="1"/>
  <c r="P9" i="17" s="1"/>
  <c r="P10" i="17" s="1"/>
  <c r="P11" i="17" s="1"/>
  <c r="P12" i="17" s="1"/>
  <c r="P13" i="17" s="1"/>
  <c r="P14" i="17" s="1"/>
  <c r="P15" i="17" s="1"/>
  <c r="P16" i="17" s="1"/>
  <c r="P17" i="17" s="1"/>
  <c r="P18" i="17" s="1"/>
  <c r="P19" i="17" s="1"/>
  <c r="P20" i="17" s="1"/>
  <c r="P21" i="17" s="1"/>
  <c r="P22" i="17" s="1"/>
  <c r="P23" i="17" s="1"/>
  <c r="P24" i="17" s="1"/>
  <c r="P25" i="17" s="1"/>
  <c r="P26" i="17" s="1"/>
  <c r="P27" i="17" s="1"/>
  <c r="K35" i="13"/>
  <c r="K35" i="31"/>
  <c r="K35" i="10"/>
  <c r="K35" i="34"/>
  <c r="K35" i="22"/>
  <c r="K3" i="6"/>
  <c r="K35" i="30"/>
  <c r="K32" i="10"/>
  <c r="N32" i="10" s="1"/>
  <c r="K32" i="11"/>
  <c r="K32" i="22"/>
  <c r="K32" i="27"/>
  <c r="K32" i="24"/>
  <c r="K32" i="7"/>
  <c r="K27" i="11"/>
  <c r="K27" i="25"/>
  <c r="K4" i="17"/>
  <c r="K5" i="17" s="1"/>
  <c r="K6" i="17" s="1"/>
  <c r="K7" i="17" s="1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7" i="2"/>
  <c r="K27" i="22"/>
  <c r="K27" i="27"/>
  <c r="L27" i="30"/>
  <c r="L27" i="11"/>
  <c r="L27" i="3"/>
  <c r="L27" i="24"/>
  <c r="L27" i="26"/>
  <c r="L27" i="33"/>
  <c r="L27" i="8"/>
  <c r="L27" i="4"/>
  <c r="L27" i="22"/>
  <c r="L27" i="28"/>
  <c r="K36" i="24"/>
  <c r="K36" i="31"/>
  <c r="K36" i="9"/>
  <c r="K36" i="28"/>
  <c r="K36" i="12"/>
  <c r="K36" i="3"/>
  <c r="K36" i="27"/>
  <c r="K36" i="33"/>
  <c r="Q4" i="17"/>
  <c r="Q5" i="17" s="1"/>
  <c r="Q6" i="17" s="1"/>
  <c r="Q7" i="17" s="1"/>
  <c r="Q8" i="17" s="1"/>
  <c r="Q9" i="17" s="1"/>
  <c r="Q10" i="17" s="1"/>
  <c r="Q11" i="17" s="1"/>
  <c r="Q12" i="17" s="1"/>
  <c r="Q13" i="17" s="1"/>
  <c r="Q14" i="17" s="1"/>
  <c r="Q15" i="17" s="1"/>
  <c r="Q16" i="17" s="1"/>
  <c r="Q17" i="17" s="1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K36" i="10"/>
  <c r="K36" i="22"/>
  <c r="K36" i="30"/>
  <c r="K36" i="7"/>
  <c r="K17" i="11"/>
  <c r="K17" i="5"/>
  <c r="K17" i="2"/>
  <c r="L35" i="8"/>
  <c r="M35" i="8" s="1"/>
  <c r="L35" i="6"/>
  <c r="M35" i="6" s="1"/>
  <c r="L35" i="33"/>
  <c r="M35" i="33" s="1"/>
  <c r="N35" i="33" s="1"/>
  <c r="L35" i="22"/>
  <c r="M35" i="22" s="1"/>
  <c r="N35" i="22" s="1"/>
  <c r="L35" i="31"/>
  <c r="M35" i="31" s="1"/>
  <c r="N35" i="31" s="1"/>
  <c r="L35" i="3"/>
  <c r="M35" i="3" s="1"/>
  <c r="K32" i="33"/>
  <c r="K32" i="8"/>
  <c r="N32" i="8" s="1"/>
  <c r="L27" i="29"/>
  <c r="L27" i="9"/>
  <c r="L30" i="12"/>
  <c r="M30" i="12" s="1"/>
  <c r="L35" i="29"/>
  <c r="M35" i="29" s="1"/>
  <c r="L35" i="11"/>
  <c r="M35" i="11" s="1"/>
  <c r="K35" i="27"/>
  <c r="K35" i="32"/>
  <c r="K17" i="25"/>
  <c r="K36" i="6"/>
  <c r="K36" i="29"/>
  <c r="K36" i="25"/>
  <c r="K27" i="3"/>
  <c r="K27" i="32"/>
  <c r="L35" i="28"/>
  <c r="M35" i="28" s="1"/>
  <c r="K27" i="34"/>
  <c r="L27" i="7"/>
  <c r="Q31" i="17"/>
  <c r="Q32" i="17" s="1"/>
  <c r="Q33" i="17" s="1"/>
  <c r="Q34" i="17" s="1"/>
  <c r="Q35" i="17" s="1"/>
  <c r="Q36" i="17" s="1"/>
  <c r="Q37" i="17" s="1"/>
  <c r="Q38" i="17" s="1"/>
  <c r="Q39" i="17" s="1"/>
  <c r="Q40" i="17" s="1"/>
  <c r="Q41" i="17" s="1"/>
  <c r="Q42" i="17" s="1"/>
  <c r="Q43" i="17" s="1"/>
  <c r="Q44" i="17" s="1"/>
  <c r="Q45" i="17" s="1"/>
  <c r="Q46" i="17" s="1"/>
  <c r="Q47" i="17" s="1"/>
  <c r="Q48" i="17" s="1"/>
  <c r="Q49" i="17" s="1"/>
  <c r="Q50" i="17" s="1"/>
  <c r="Q51" i="17" s="1"/>
  <c r="Q52" i="17" s="1"/>
  <c r="Q53" i="17" s="1"/>
  <c r="Q54" i="17" s="1"/>
  <c r="L36" i="7"/>
  <c r="L14" i="12"/>
  <c r="M14" i="12" s="1"/>
  <c r="L14" i="6"/>
  <c r="M14" i="6" s="1"/>
  <c r="L14" i="33"/>
  <c r="M14" i="33" s="1"/>
  <c r="I88" i="17"/>
  <c r="P88" i="17"/>
  <c r="L35" i="12"/>
  <c r="L35" i="4"/>
  <c r="M35" i="4" s="1"/>
  <c r="L35" i="10"/>
  <c r="M35" i="10" s="1"/>
  <c r="L35" i="23"/>
  <c r="M35" i="23" s="1"/>
  <c r="L36" i="8"/>
  <c r="L36" i="3"/>
  <c r="L36" i="28"/>
  <c r="L14" i="31"/>
  <c r="M14" i="31" s="1"/>
  <c r="L14" i="24"/>
  <c r="M14" i="24" s="1"/>
  <c r="B31" i="17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L14" i="7"/>
  <c r="M14" i="7" s="1"/>
  <c r="L14" i="27"/>
  <c r="M14" i="27" s="1"/>
  <c r="L14" i="22"/>
  <c r="M14" i="22" s="1"/>
  <c r="K34" i="32"/>
  <c r="K34" i="34"/>
  <c r="K34" i="9"/>
  <c r="K34" i="2"/>
  <c r="L14" i="8"/>
  <c r="M14" i="8" s="1"/>
  <c r="L30" i="7"/>
  <c r="M30" i="7" s="1"/>
  <c r="L30" i="32"/>
  <c r="M30" i="32" s="1"/>
  <c r="L30" i="26"/>
  <c r="M30" i="26" s="1"/>
  <c r="L30" i="5"/>
  <c r="M30" i="5" s="1"/>
  <c r="K3" i="27"/>
  <c r="K3" i="31"/>
  <c r="K34" i="27"/>
  <c r="K34" i="10"/>
  <c r="K34" i="23"/>
  <c r="L14" i="23"/>
  <c r="M14" i="23" s="1"/>
  <c r="L30" i="24"/>
  <c r="M30" i="24" s="1"/>
  <c r="N30" i="24" s="1"/>
  <c r="L14" i="25"/>
  <c r="M14" i="25" s="1"/>
  <c r="L36" i="6"/>
  <c r="L14" i="4"/>
  <c r="M14" i="4" s="1"/>
  <c r="K30" i="31"/>
  <c r="K30" i="10"/>
  <c r="K30" i="8"/>
  <c r="K30" i="25"/>
  <c r="K30" i="4"/>
  <c r="N4" i="17"/>
  <c r="N5" i="17" s="1"/>
  <c r="N6" i="17" s="1"/>
  <c r="N7" i="17" s="1"/>
  <c r="N8" i="17" s="1"/>
  <c r="N9" i="17" s="1"/>
  <c r="N10" i="17" s="1"/>
  <c r="N11" i="17" s="1"/>
  <c r="N12" i="17" s="1"/>
  <c r="N13" i="17" s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K30" i="2"/>
  <c r="L14" i="5"/>
  <c r="M14" i="5" s="1"/>
  <c r="L30" i="9"/>
  <c r="M30" i="9" s="1"/>
  <c r="L17" i="9"/>
  <c r="M17" i="9" s="1"/>
  <c r="L30" i="34"/>
  <c r="M30" i="34" s="1"/>
  <c r="C4" i="17"/>
  <c r="K3" i="34"/>
  <c r="K17" i="24"/>
  <c r="K17" i="30"/>
  <c r="K30" i="22"/>
  <c r="K30" i="11"/>
  <c r="K30" i="29"/>
  <c r="K30" i="26"/>
  <c r="K30" i="12"/>
  <c r="K34" i="25"/>
  <c r="K34" i="33"/>
  <c r="K34" i="3"/>
  <c r="L14" i="26"/>
  <c r="M14" i="26" s="1"/>
  <c r="L36" i="34"/>
  <c r="L36" i="29"/>
  <c r="L14" i="3"/>
  <c r="M14" i="3" s="1"/>
  <c r="L36" i="2"/>
  <c r="K35" i="7"/>
  <c r="K35" i="25"/>
  <c r="K35" i="6"/>
  <c r="K35" i="28"/>
  <c r="K35" i="8"/>
  <c r="K35" i="23"/>
  <c r="K35" i="29"/>
  <c r="K32" i="23"/>
  <c r="L36" i="12"/>
  <c r="K32" i="12"/>
  <c r="K32" i="30"/>
  <c r="L30" i="23"/>
  <c r="M30" i="23" s="1"/>
  <c r="L30" i="27"/>
  <c r="M30" i="27" s="1"/>
  <c r="N30" i="27" s="1"/>
  <c r="K35" i="26"/>
  <c r="K35" i="2"/>
  <c r="K35" i="9"/>
  <c r="K35" i="3"/>
  <c r="K3" i="32"/>
  <c r="K3" i="23"/>
  <c r="K17" i="13"/>
  <c r="K35" i="12"/>
  <c r="K17" i="8"/>
  <c r="K17" i="31"/>
  <c r="K30" i="13"/>
  <c r="K30" i="6"/>
  <c r="K30" i="32"/>
  <c r="K30" i="3"/>
  <c r="K30" i="34"/>
  <c r="K34" i="30"/>
  <c r="K34" i="12"/>
  <c r="L14" i="29"/>
  <c r="M14" i="29" s="1"/>
  <c r="L14" i="34"/>
  <c r="M14" i="34" s="1"/>
  <c r="L14" i="2"/>
  <c r="M14" i="2" s="1"/>
  <c r="L14" i="10"/>
  <c r="M14" i="10" s="1"/>
  <c r="L30" i="13"/>
  <c r="M30" i="13" s="1"/>
  <c r="L36" i="11"/>
  <c r="K32" i="4"/>
  <c r="N32" i="4" s="1"/>
  <c r="K27" i="24"/>
  <c r="K27" i="30"/>
  <c r="J4" i="17"/>
  <c r="K18" i="29" s="1"/>
  <c r="K17" i="7"/>
  <c r="K17" i="28"/>
  <c r="K17" i="33"/>
  <c r="L35" i="26"/>
  <c r="M35" i="26" s="1"/>
  <c r="L35" i="9"/>
  <c r="M35" i="9" s="1"/>
  <c r="L35" i="34"/>
  <c r="M35" i="34" s="1"/>
  <c r="L35" i="27"/>
  <c r="M35" i="27" s="1"/>
  <c r="L35" i="25"/>
  <c r="M35" i="25" s="1"/>
  <c r="K14" i="12"/>
  <c r="K14" i="13"/>
  <c r="N14" i="13" s="1"/>
  <c r="K14" i="2"/>
  <c r="K14" i="6"/>
  <c r="K14" i="8"/>
  <c r="K88" i="17"/>
  <c r="R88" i="17"/>
  <c r="W88" i="17"/>
  <c r="V5" i="17"/>
  <c r="M36" i="27" s="1"/>
  <c r="M35" i="24"/>
  <c r="R31" i="17"/>
  <c r="L17" i="29"/>
  <c r="M17" i="29" s="1"/>
  <c r="L17" i="8"/>
  <c r="M17" i="8" s="1"/>
  <c r="L17" i="25"/>
  <c r="M17" i="25" s="1"/>
  <c r="L17" i="11"/>
  <c r="M17" i="11" s="1"/>
  <c r="L17" i="2"/>
  <c r="M17" i="2" s="1"/>
  <c r="L17" i="3"/>
  <c r="M17" i="3" s="1"/>
  <c r="L17" i="24"/>
  <c r="M17" i="24" s="1"/>
  <c r="L17" i="13"/>
  <c r="M17" i="13" s="1"/>
  <c r="L17" i="12"/>
  <c r="M17" i="12" s="1"/>
  <c r="L17" i="23"/>
  <c r="L17" i="34"/>
  <c r="M17" i="34" s="1"/>
  <c r="L17" i="5"/>
  <c r="M17" i="5" s="1"/>
  <c r="L17" i="32"/>
  <c r="M17" i="32" s="1"/>
  <c r="L17" i="6"/>
  <c r="M17" i="6" s="1"/>
  <c r="L17" i="7"/>
  <c r="M17" i="7" s="1"/>
  <c r="L17" i="28"/>
  <c r="M17" i="28" s="1"/>
  <c r="L34" i="25"/>
  <c r="L34" i="9"/>
  <c r="M34" i="9" s="1"/>
  <c r="L34" i="7"/>
  <c r="M34" i="7" s="1"/>
  <c r="L34" i="11"/>
  <c r="L34" i="32"/>
  <c r="L34" i="28"/>
  <c r="M34" i="28" s="1"/>
  <c r="L34" i="6"/>
  <c r="M34" i="6" s="1"/>
  <c r="L34" i="13"/>
  <c r="M34" i="13" s="1"/>
  <c r="L34" i="26"/>
  <c r="L34" i="22"/>
  <c r="M34" i="22" s="1"/>
  <c r="L34" i="34"/>
  <c r="M34" i="34" s="1"/>
  <c r="L34" i="2"/>
  <c r="M34" i="2" s="1"/>
  <c r="L34" i="33"/>
  <c r="M34" i="33" s="1"/>
  <c r="L34" i="27"/>
  <c r="M34" i="27" s="1"/>
  <c r="L34" i="12"/>
  <c r="M34" i="12" s="1"/>
  <c r="L34" i="8"/>
  <c r="M34" i="8" s="1"/>
  <c r="L34" i="29"/>
  <c r="M34" i="29" s="1"/>
  <c r="N34" i="29" s="1"/>
  <c r="L32" i="17"/>
  <c r="W7" i="35"/>
  <c r="L18" i="30"/>
  <c r="M18" i="30" s="1"/>
  <c r="K4" i="6"/>
  <c r="L17" i="22"/>
  <c r="M17" i="22" s="1"/>
  <c r="L17" i="31"/>
  <c r="L34" i="4"/>
  <c r="L34" i="10"/>
  <c r="M34" i="10" s="1"/>
  <c r="L34" i="30"/>
  <c r="M34" i="30" s="1"/>
  <c r="L34" i="31"/>
  <c r="M34" i="31" s="1"/>
  <c r="L34" i="5"/>
  <c r="L34" i="3"/>
  <c r="M34" i="3" s="1"/>
  <c r="K3" i="10"/>
  <c r="K3" i="7"/>
  <c r="K3" i="25"/>
  <c r="K3" i="8"/>
  <c r="K3" i="26"/>
  <c r="K3" i="9"/>
  <c r="K3" i="22"/>
  <c r="K3" i="30"/>
  <c r="K3" i="28"/>
  <c r="K3" i="29"/>
  <c r="K3" i="13"/>
  <c r="K3" i="24"/>
  <c r="K3" i="11"/>
  <c r="K3" i="3"/>
  <c r="K3" i="33"/>
  <c r="K3" i="2"/>
  <c r="K3" i="12"/>
  <c r="K3" i="5"/>
  <c r="D5" i="17"/>
  <c r="D6" i="17" s="1"/>
  <c r="D7" i="17" s="1"/>
  <c r="D8" i="17" s="1"/>
  <c r="D9" i="17" s="1"/>
  <c r="D10" i="17" s="1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K4" i="12"/>
  <c r="L3" i="33"/>
  <c r="M3" i="33" s="1"/>
  <c r="O88" i="17"/>
  <c r="L36" i="25"/>
  <c r="L36" i="4"/>
  <c r="L36" i="13"/>
  <c r="L36" i="10"/>
  <c r="L36" i="22"/>
  <c r="L36" i="31"/>
  <c r="L36" i="24"/>
  <c r="L36" i="26"/>
  <c r="L36" i="9"/>
  <c r="L36" i="23"/>
  <c r="L36" i="30"/>
  <c r="L36" i="5"/>
  <c r="L30" i="28"/>
  <c r="M30" i="28" s="1"/>
  <c r="L30" i="4"/>
  <c r="M30" i="4" s="1"/>
  <c r="L30" i="31"/>
  <c r="M30" i="31" s="1"/>
  <c r="L30" i="10"/>
  <c r="M30" i="10" s="1"/>
  <c r="L30" i="11"/>
  <c r="M30" i="11" s="1"/>
  <c r="L30" i="33"/>
  <c r="M30" i="33" s="1"/>
  <c r="N31" i="17"/>
  <c r="N32" i="17" s="1"/>
  <c r="N33" i="17" s="1"/>
  <c r="N34" i="17" s="1"/>
  <c r="N35" i="17" s="1"/>
  <c r="N36" i="17" s="1"/>
  <c r="N37" i="17" s="1"/>
  <c r="N38" i="17" s="1"/>
  <c r="N39" i="17" s="1"/>
  <c r="N40" i="17" s="1"/>
  <c r="N41" i="17" s="1"/>
  <c r="N42" i="17" s="1"/>
  <c r="N43" i="17" s="1"/>
  <c r="N44" i="17" s="1"/>
  <c r="N45" i="17" s="1"/>
  <c r="N46" i="17" s="1"/>
  <c r="N47" i="17" s="1"/>
  <c r="N48" i="17" s="1"/>
  <c r="N49" i="17" s="1"/>
  <c r="N50" i="17" s="1"/>
  <c r="N51" i="17" s="1"/>
  <c r="N52" i="17" s="1"/>
  <c r="N53" i="17" s="1"/>
  <c r="N54" i="17" s="1"/>
  <c r="L30" i="25"/>
  <c r="M30" i="25" s="1"/>
  <c r="L30" i="22"/>
  <c r="M30" i="22" s="1"/>
  <c r="L30" i="29"/>
  <c r="M30" i="29" s="1"/>
  <c r="L30" i="30"/>
  <c r="M30" i="30" s="1"/>
  <c r="L30" i="6"/>
  <c r="M30" i="6" s="1"/>
  <c r="K34" i="4"/>
  <c r="K34" i="24"/>
  <c r="K34" i="13"/>
  <c r="K34" i="6"/>
  <c r="K34" i="11"/>
  <c r="K34" i="28"/>
  <c r="K34" i="26"/>
  <c r="K17" i="9"/>
  <c r="K17" i="4"/>
  <c r="K17" i="26"/>
  <c r="K17" i="3"/>
  <c r="K17" i="32"/>
  <c r="K17" i="29"/>
  <c r="K17" i="34"/>
  <c r="L36" i="32"/>
  <c r="X88" i="17"/>
  <c r="L36" i="33"/>
  <c r="L30" i="8"/>
  <c r="M30" i="8" s="1"/>
  <c r="K4" i="9"/>
  <c r="K4" i="7"/>
  <c r="K17" i="6"/>
  <c r="K17" i="10"/>
  <c r="K17" i="27"/>
  <c r="K17" i="22"/>
  <c r="K34" i="31"/>
  <c r="K34" i="22"/>
  <c r="O4" i="17"/>
  <c r="O5" i="17" s="1"/>
  <c r="O6" i="17" s="1"/>
  <c r="O7" i="17" s="1"/>
  <c r="O8" i="17" s="1"/>
  <c r="O9" i="17" s="1"/>
  <c r="O10" i="17" s="1"/>
  <c r="O11" i="17" s="1"/>
  <c r="O12" i="17" s="1"/>
  <c r="O13" i="17" s="1"/>
  <c r="O14" i="17" s="1"/>
  <c r="O15" i="17" s="1"/>
  <c r="O16" i="17" s="1"/>
  <c r="O17" i="17" s="1"/>
  <c r="O18" i="17" s="1"/>
  <c r="O19" i="17" s="1"/>
  <c r="O20" i="17" s="1"/>
  <c r="O21" i="17" s="1"/>
  <c r="O22" i="17" s="1"/>
  <c r="O23" i="17" s="1"/>
  <c r="O24" i="17" s="1"/>
  <c r="O25" i="17" s="1"/>
  <c r="O26" i="17" s="1"/>
  <c r="O27" i="17" s="1"/>
  <c r="K34" i="5"/>
  <c r="K34" i="7"/>
  <c r="L30" i="2"/>
  <c r="M30" i="2" s="1"/>
  <c r="K32" i="29"/>
  <c r="K32" i="13"/>
  <c r="K32" i="9"/>
  <c r="K32" i="5"/>
  <c r="K32" i="32"/>
  <c r="K32" i="34"/>
  <c r="K32" i="3"/>
  <c r="N32" i="3" s="1"/>
  <c r="K32" i="31"/>
  <c r="K27" i="7"/>
  <c r="K27" i="10"/>
  <c r="K27" i="12"/>
  <c r="K27" i="8"/>
  <c r="K27" i="23"/>
  <c r="K27" i="6"/>
  <c r="K27" i="13"/>
  <c r="K27" i="5"/>
  <c r="K27" i="31"/>
  <c r="K27" i="29"/>
  <c r="K14" i="31"/>
  <c r="K14" i="22"/>
  <c r="K14" i="25"/>
  <c r="K14" i="28"/>
  <c r="K14" i="27"/>
  <c r="K14" i="5"/>
  <c r="K14" i="4"/>
  <c r="K14" i="3"/>
  <c r="H88" i="17"/>
  <c r="L17" i="10"/>
  <c r="M17" i="10" s="1"/>
  <c r="L17" i="33"/>
  <c r="M17" i="33" s="1"/>
  <c r="L17" i="30"/>
  <c r="M17" i="30" s="1"/>
  <c r="L17" i="27"/>
  <c r="M17" i="27" s="1"/>
  <c r="L14" i="32"/>
  <c r="M14" i="32" s="1"/>
  <c r="L14" i="28"/>
  <c r="M14" i="28" s="1"/>
  <c r="L14" i="11"/>
  <c r="M14" i="11" s="1"/>
  <c r="L14" i="9"/>
  <c r="M14" i="9" s="1"/>
  <c r="L14" i="30"/>
  <c r="M14" i="30" s="1"/>
  <c r="S31" i="17"/>
  <c r="S32" i="17" s="1"/>
  <c r="S33" i="17" s="1"/>
  <c r="S34" i="17" s="1"/>
  <c r="S35" i="17" s="1"/>
  <c r="S36" i="17" s="1"/>
  <c r="S37" i="17" s="1"/>
  <c r="S38" i="17" s="1"/>
  <c r="S39" i="17" s="1"/>
  <c r="S40" i="17" s="1"/>
  <c r="S41" i="17" s="1"/>
  <c r="S42" i="17" s="1"/>
  <c r="S43" i="17" s="1"/>
  <c r="S44" i="17" s="1"/>
  <c r="S45" i="17" s="1"/>
  <c r="S46" i="17" s="1"/>
  <c r="S47" i="17" s="1"/>
  <c r="S48" i="17" s="1"/>
  <c r="S49" i="17" s="1"/>
  <c r="S50" i="17" s="1"/>
  <c r="S51" i="17" s="1"/>
  <c r="S52" i="17" s="1"/>
  <c r="S53" i="17" s="1"/>
  <c r="S54" i="17" s="1"/>
  <c r="L35" i="32"/>
  <c r="M35" i="32" s="1"/>
  <c r="M37" i="7"/>
  <c r="M37" i="24"/>
  <c r="N32" i="26"/>
  <c r="F50" i="1"/>
  <c r="C10" i="20"/>
  <c r="F23" i="20" s="1"/>
  <c r="M23" i="20" s="1"/>
  <c r="B86" i="17"/>
  <c r="H15" i="2"/>
  <c r="E5" i="14" s="1"/>
  <c r="C5" i="14"/>
  <c r="W6" i="35"/>
  <c r="L32" i="14"/>
  <c r="J32" i="14"/>
  <c r="J35" i="14" s="1"/>
  <c r="I32" i="14"/>
  <c r="I35" i="14" s="1"/>
  <c r="E14" i="20"/>
  <c r="E40" i="20"/>
  <c r="X14" i="17"/>
  <c r="X15" i="17" s="1"/>
  <c r="X16" i="17" s="1"/>
  <c r="X17" i="17" s="1"/>
  <c r="X18" i="17" s="1"/>
  <c r="X19" i="17" s="1"/>
  <c r="X20" i="17" s="1"/>
  <c r="X21" i="17" s="1"/>
  <c r="X22" i="17" s="1"/>
  <c r="X23" i="17" s="1"/>
  <c r="X24" i="17" s="1"/>
  <c r="X25" i="17" s="1"/>
  <c r="X26" i="17" s="1"/>
  <c r="X27" i="17" s="1"/>
  <c r="X29" i="17"/>
  <c r="X30" i="17" s="1"/>
  <c r="X31" i="17" s="1"/>
  <c r="X32" i="17" s="1"/>
  <c r="X33" i="17" s="1"/>
  <c r="X34" i="17" s="1"/>
  <c r="X35" i="17" s="1"/>
  <c r="X36" i="17" s="1"/>
  <c r="H50" i="1"/>
  <c r="I50" i="1" s="1"/>
  <c r="E41" i="20"/>
  <c r="H41" i="20" s="1"/>
  <c r="I41" i="20" s="1"/>
  <c r="K32" i="14"/>
  <c r="T43" i="14"/>
  <c r="M32" i="14"/>
  <c r="H32" i="14"/>
  <c r="I26" i="35"/>
  <c r="J28" i="35"/>
  <c r="K28" i="35"/>
  <c r="I27" i="35"/>
  <c r="T12" i="35"/>
  <c r="N32" i="13" l="1"/>
  <c r="N30" i="34"/>
  <c r="N37" i="4"/>
  <c r="N32" i="34"/>
  <c r="N14" i="30"/>
  <c r="N35" i="25"/>
  <c r="J88" i="17"/>
  <c r="N37" i="10"/>
  <c r="Q88" i="17"/>
  <c r="N14" i="29"/>
  <c r="T88" i="17"/>
  <c r="N14" i="23"/>
  <c r="Y88" i="17"/>
  <c r="O14" i="14"/>
  <c r="O18" i="14"/>
  <c r="O19" i="14"/>
  <c r="N30" i="33"/>
  <c r="N32" i="23"/>
  <c r="N30" i="9"/>
  <c r="Z88" i="17"/>
  <c r="N14" i="10"/>
  <c r="N14" i="7"/>
  <c r="O10" i="14"/>
  <c r="O21" i="14"/>
  <c r="O20" i="14"/>
  <c r="N37" i="7"/>
  <c r="K4" i="4"/>
  <c r="K4" i="3"/>
  <c r="N14" i="24"/>
  <c r="N32" i="27"/>
  <c r="N37" i="28"/>
  <c r="N37" i="31"/>
  <c r="N37" i="26"/>
  <c r="O11" i="14"/>
  <c r="N14" i="9"/>
  <c r="K18" i="3"/>
  <c r="D88" i="17"/>
  <c r="N37" i="25"/>
  <c r="P38" i="11"/>
  <c r="V88" i="17"/>
  <c r="N37" i="3"/>
  <c r="N32" i="31"/>
  <c r="N37" i="33"/>
  <c r="M36" i="25"/>
  <c r="N36" i="25" s="1"/>
  <c r="N32" i="12"/>
  <c r="L3" i="23"/>
  <c r="M3" i="23" s="1"/>
  <c r="N3" i="23" s="1"/>
  <c r="L3" i="6"/>
  <c r="M3" i="6" s="1"/>
  <c r="L3" i="22"/>
  <c r="M3" i="22" s="1"/>
  <c r="N3" i="22" s="1"/>
  <c r="H31" i="20"/>
  <c r="N37" i="29"/>
  <c r="N32" i="29"/>
  <c r="L3" i="13"/>
  <c r="M3" i="13" s="1"/>
  <c r="N35" i="11"/>
  <c r="H32" i="20"/>
  <c r="N37" i="27"/>
  <c r="N37" i="11"/>
  <c r="N37" i="6"/>
  <c r="M88" i="17"/>
  <c r="N14" i="32"/>
  <c r="L3" i="31"/>
  <c r="M3" i="31" s="1"/>
  <c r="N3" i="31" s="1"/>
  <c r="K4" i="22"/>
  <c r="K4" i="2"/>
  <c r="S88" i="17"/>
  <c r="C31" i="17"/>
  <c r="L4" i="6" s="1"/>
  <c r="M4" i="6" s="1"/>
  <c r="N4" i="6" s="1"/>
  <c r="L3" i="4"/>
  <c r="M3" i="4" s="1"/>
  <c r="N3" i="4" s="1"/>
  <c r="N35" i="10"/>
  <c r="B32" i="14"/>
  <c r="G53" i="14" s="1"/>
  <c r="N53" i="14" s="1"/>
  <c r="P53" i="14" s="1"/>
  <c r="G88" i="17"/>
  <c r="N14" i="6"/>
  <c r="F88" i="17"/>
  <c r="O8" i="14"/>
  <c r="N30" i="7"/>
  <c r="C88" i="17"/>
  <c r="L3" i="8"/>
  <c r="M3" i="8" s="1"/>
  <c r="N3" i="8" s="1"/>
  <c r="L3" i="5"/>
  <c r="M3" i="5" s="1"/>
  <c r="N3" i="5" s="1"/>
  <c r="L3" i="29"/>
  <c r="M3" i="29" s="1"/>
  <c r="N3" i="29" s="1"/>
  <c r="L3" i="12"/>
  <c r="M3" i="12" s="1"/>
  <c r="N3" i="12" s="1"/>
  <c r="L3" i="24"/>
  <c r="M3" i="24" s="1"/>
  <c r="L3" i="30"/>
  <c r="U88" i="17"/>
  <c r="L88" i="17"/>
  <c r="L3" i="11"/>
  <c r="M3" i="11" s="1"/>
  <c r="N3" i="11" s="1"/>
  <c r="L3" i="10"/>
  <c r="M3" i="10" s="1"/>
  <c r="L3" i="2"/>
  <c r="M3" i="2" s="1"/>
  <c r="N3" i="2" s="1"/>
  <c r="L3" i="3"/>
  <c r="M3" i="3" s="1"/>
  <c r="N3" i="3" s="1"/>
  <c r="L3" i="34"/>
  <c r="N88" i="17"/>
  <c r="N37" i="5"/>
  <c r="I30" i="35"/>
  <c r="J30" i="35" s="1"/>
  <c r="L3" i="25"/>
  <c r="L3" i="26"/>
  <c r="L3" i="28"/>
  <c r="M3" i="28" s="1"/>
  <c r="L3" i="27"/>
  <c r="M3" i="27" s="1"/>
  <c r="N3" i="27" s="1"/>
  <c r="L3" i="7"/>
  <c r="M3" i="7" s="1"/>
  <c r="N3" i="7" s="1"/>
  <c r="L3" i="32"/>
  <c r="M3" i="32" s="1"/>
  <c r="K18" i="31"/>
  <c r="N30" i="5"/>
  <c r="P38" i="32"/>
  <c r="N37" i="23"/>
  <c r="O16" i="14"/>
  <c r="E32" i="14"/>
  <c r="E34" i="14" s="1"/>
  <c r="E12" i="21" s="1"/>
  <c r="C32" i="14"/>
  <c r="C35" i="14" s="1"/>
  <c r="O6" i="14"/>
  <c r="M36" i="13"/>
  <c r="N36" i="13" s="1"/>
  <c r="N32" i="33"/>
  <c r="E88" i="17"/>
  <c r="N32" i="14"/>
  <c r="I6" i="20" s="1"/>
  <c r="F32" i="14"/>
  <c r="F6" i="20" s="1"/>
  <c r="O7" i="14"/>
  <c r="D32" i="14"/>
  <c r="D6" i="20" s="1"/>
  <c r="R32" i="14"/>
  <c r="T46" i="14" s="1"/>
  <c r="G51" i="14"/>
  <c r="L35" i="14"/>
  <c r="F17" i="21" s="1"/>
  <c r="N32" i="24"/>
  <c r="N30" i="23"/>
  <c r="I34" i="14"/>
  <c r="N32" i="22"/>
  <c r="N32" i="7"/>
  <c r="N32" i="11"/>
  <c r="N32" i="32"/>
  <c r="N30" i="3"/>
  <c r="M36" i="31"/>
  <c r="R38" i="31" s="1"/>
  <c r="M36" i="4"/>
  <c r="N36" i="4" s="1"/>
  <c r="N32" i="30"/>
  <c r="N32" i="5"/>
  <c r="D36" i="15"/>
  <c r="F36" i="15" s="1"/>
  <c r="I73" i="1" s="1"/>
  <c r="F34" i="15"/>
  <c r="H73" i="1" s="1"/>
  <c r="O5" i="14"/>
  <c r="B88" i="17"/>
  <c r="P11" i="15"/>
  <c r="B27" i="15"/>
  <c r="E40" i="1" s="1"/>
  <c r="N12" i="15"/>
  <c r="P10" i="15"/>
  <c r="G32" i="14"/>
  <c r="G34" i="14" s="1"/>
  <c r="I10" i="20"/>
  <c r="F10" i="20"/>
  <c r="F29" i="20" s="1"/>
  <c r="N14" i="26"/>
  <c r="N34" i="8"/>
  <c r="P38" i="2"/>
  <c r="P38" i="8"/>
  <c r="P38" i="27"/>
  <c r="N30" i="31"/>
  <c r="Q38" i="24"/>
  <c r="N30" i="11"/>
  <c r="N30" i="30"/>
  <c r="N17" i="22"/>
  <c r="P38" i="12"/>
  <c r="P38" i="3"/>
  <c r="P38" i="5"/>
  <c r="N30" i="2"/>
  <c r="N14" i="4"/>
  <c r="N35" i="4"/>
  <c r="N35" i="8"/>
  <c r="E42" i="20"/>
  <c r="I42" i="20" s="1"/>
  <c r="I44" i="1" s="1"/>
  <c r="E49" i="1"/>
  <c r="F49" i="1" s="1"/>
  <c r="N35" i="34"/>
  <c r="L18" i="5"/>
  <c r="M18" i="5" s="1"/>
  <c r="N35" i="5"/>
  <c r="L4" i="22"/>
  <c r="M4" i="22" s="1"/>
  <c r="L18" i="22"/>
  <c r="M18" i="22" s="1"/>
  <c r="N30" i="12"/>
  <c r="N35" i="28"/>
  <c r="N14" i="11"/>
  <c r="K4" i="23"/>
  <c r="L18" i="25"/>
  <c r="M18" i="25" s="1"/>
  <c r="K4" i="28"/>
  <c r="K4" i="34"/>
  <c r="K4" i="13"/>
  <c r="K4" i="10"/>
  <c r="N34" i="27"/>
  <c r="N36" i="27"/>
  <c r="P38" i="29"/>
  <c r="N14" i="33"/>
  <c r="C5" i="17"/>
  <c r="K5" i="10" s="1"/>
  <c r="P38" i="4"/>
  <c r="N30" i="28"/>
  <c r="L18" i="31"/>
  <c r="M18" i="31" s="1"/>
  <c r="K4" i="27"/>
  <c r="K4" i="8"/>
  <c r="K4" i="32"/>
  <c r="K4" i="29"/>
  <c r="N17" i="29"/>
  <c r="N35" i="24"/>
  <c r="N14" i="34"/>
  <c r="P38" i="33"/>
  <c r="P38" i="34"/>
  <c r="N35" i="30"/>
  <c r="N14" i="22"/>
  <c r="N34" i="2"/>
  <c r="N17" i="28"/>
  <c r="N17" i="11"/>
  <c r="P38" i="28"/>
  <c r="P38" i="24"/>
  <c r="N36" i="31"/>
  <c r="Q38" i="29"/>
  <c r="P38" i="10"/>
  <c r="Q38" i="12"/>
  <c r="N17" i="25"/>
  <c r="P38" i="13"/>
  <c r="Q38" i="34"/>
  <c r="P38" i="7"/>
  <c r="P38" i="31"/>
  <c r="N17" i="4"/>
  <c r="N30" i="22"/>
  <c r="N3" i="6"/>
  <c r="N3" i="32"/>
  <c r="N35" i="27"/>
  <c r="P38" i="25"/>
  <c r="N17" i="9"/>
  <c r="L18" i="28"/>
  <c r="M18" i="28" s="1"/>
  <c r="L18" i="33"/>
  <c r="M18" i="33" s="1"/>
  <c r="L18" i="34"/>
  <c r="M18" i="34" s="1"/>
  <c r="L18" i="2"/>
  <c r="M18" i="2" s="1"/>
  <c r="K18" i="12"/>
  <c r="K18" i="4"/>
  <c r="L18" i="11"/>
  <c r="M18" i="11" s="1"/>
  <c r="Q38" i="31"/>
  <c r="N34" i="24"/>
  <c r="N35" i="32"/>
  <c r="M35" i="12"/>
  <c r="N35" i="12" s="1"/>
  <c r="L18" i="7"/>
  <c r="M18" i="7" s="1"/>
  <c r="L18" i="10"/>
  <c r="M18" i="10" s="1"/>
  <c r="L18" i="9"/>
  <c r="M18" i="9" s="1"/>
  <c r="K18" i="24"/>
  <c r="K18" i="28"/>
  <c r="L18" i="27"/>
  <c r="M18" i="27" s="1"/>
  <c r="N17" i="5"/>
  <c r="P38" i="22"/>
  <c r="K4" i="33"/>
  <c r="N30" i="8"/>
  <c r="L18" i="23"/>
  <c r="M18" i="23" s="1"/>
  <c r="P38" i="26"/>
  <c r="L18" i="13"/>
  <c r="M18" i="13" s="1"/>
  <c r="L18" i="12"/>
  <c r="M18" i="12" s="1"/>
  <c r="K4" i="25"/>
  <c r="K4" i="5"/>
  <c r="K4" i="11"/>
  <c r="L18" i="32"/>
  <c r="M18" i="32" s="1"/>
  <c r="N35" i="2"/>
  <c r="K18" i="34"/>
  <c r="L18" i="26"/>
  <c r="M18" i="26" s="1"/>
  <c r="L18" i="29"/>
  <c r="M18" i="29" s="1"/>
  <c r="N18" i="29" s="1"/>
  <c r="L18" i="24"/>
  <c r="M18" i="24" s="1"/>
  <c r="N34" i="12"/>
  <c r="N34" i="34"/>
  <c r="N14" i="8"/>
  <c r="N14" i="12"/>
  <c r="N35" i="9"/>
  <c r="N17" i="7"/>
  <c r="P38" i="30"/>
  <c r="N30" i="6"/>
  <c r="N35" i="3"/>
  <c r="P38" i="6"/>
  <c r="N14" i="5"/>
  <c r="P38" i="23"/>
  <c r="N30" i="32"/>
  <c r="P38" i="9"/>
  <c r="N35" i="6"/>
  <c r="N17" i="13"/>
  <c r="N17" i="24"/>
  <c r="N34" i="10"/>
  <c r="N35" i="23"/>
  <c r="N14" i="2"/>
  <c r="N30" i="13"/>
  <c r="Q38" i="3"/>
  <c r="N17" i="33"/>
  <c r="N14" i="27"/>
  <c r="N14" i="31"/>
  <c r="N30" i="25"/>
  <c r="N30" i="10"/>
  <c r="N3" i="10"/>
  <c r="N35" i="7"/>
  <c r="N34" i="23"/>
  <c r="N17" i="10"/>
  <c r="N14" i="3"/>
  <c r="N14" i="28"/>
  <c r="N17" i="34"/>
  <c r="Q38" i="5"/>
  <c r="N34" i="9"/>
  <c r="N35" i="29"/>
  <c r="K18" i="33"/>
  <c r="K18" i="11"/>
  <c r="K18" i="7"/>
  <c r="K18" i="9"/>
  <c r="K18" i="25"/>
  <c r="K18" i="32"/>
  <c r="K18" i="30"/>
  <c r="N18" i="30" s="1"/>
  <c r="Q38" i="7"/>
  <c r="Q38" i="6"/>
  <c r="N14" i="25"/>
  <c r="N30" i="29"/>
  <c r="N30" i="4"/>
  <c r="N34" i="3"/>
  <c r="K18" i="13"/>
  <c r="K18" i="10"/>
  <c r="L4" i="27"/>
  <c r="M4" i="27" s="1"/>
  <c r="K18" i="6"/>
  <c r="K18" i="22"/>
  <c r="K18" i="5"/>
  <c r="K18" i="26"/>
  <c r="N34" i="33"/>
  <c r="L4" i="24"/>
  <c r="M4" i="24" s="1"/>
  <c r="N34" i="22"/>
  <c r="Q38" i="22"/>
  <c r="N17" i="30"/>
  <c r="K18" i="2"/>
  <c r="N30" i="26"/>
  <c r="K18" i="8"/>
  <c r="K18" i="23"/>
  <c r="K18" i="27"/>
  <c r="J5" i="17"/>
  <c r="K19" i="4" s="1"/>
  <c r="N34" i="13"/>
  <c r="Q38" i="11"/>
  <c r="K4" i="31"/>
  <c r="K4" i="30"/>
  <c r="K4" i="24"/>
  <c r="K4" i="26"/>
  <c r="N34" i="28"/>
  <c r="N17" i="26"/>
  <c r="Q38" i="30"/>
  <c r="M34" i="11"/>
  <c r="N34" i="11" s="1"/>
  <c r="Q38" i="27"/>
  <c r="M34" i="5"/>
  <c r="N34" i="5" s="1"/>
  <c r="Q38" i="33"/>
  <c r="Q38" i="10"/>
  <c r="Q38" i="8"/>
  <c r="N17" i="3"/>
  <c r="Q38" i="28"/>
  <c r="Q38" i="13"/>
  <c r="R38" i="27"/>
  <c r="N3" i="33"/>
  <c r="Q38" i="2"/>
  <c r="Q38" i="9"/>
  <c r="N17" i="6"/>
  <c r="X37" i="17"/>
  <c r="X38" i="17" s="1"/>
  <c r="X39" i="17" s="1"/>
  <c r="M3" i="25"/>
  <c r="M17" i="31"/>
  <c r="M34" i="4"/>
  <c r="Q38" i="4"/>
  <c r="N34" i="31"/>
  <c r="N3" i="13"/>
  <c r="N34" i="6"/>
  <c r="M36" i="23"/>
  <c r="N36" i="23" s="1"/>
  <c r="Q38" i="23"/>
  <c r="M3" i="30"/>
  <c r="V6" i="17"/>
  <c r="M36" i="11"/>
  <c r="N36" i="11" s="1"/>
  <c r="M36" i="8"/>
  <c r="N36" i="8" s="1"/>
  <c r="M36" i="6"/>
  <c r="N36" i="6" s="1"/>
  <c r="M36" i="2"/>
  <c r="M36" i="3"/>
  <c r="N36" i="3" s="1"/>
  <c r="M36" i="29"/>
  <c r="N36" i="29" s="1"/>
  <c r="M36" i="12"/>
  <c r="N36" i="12" s="1"/>
  <c r="M36" i="28"/>
  <c r="M36" i="7"/>
  <c r="M36" i="34"/>
  <c r="N36" i="34" s="1"/>
  <c r="M3" i="26"/>
  <c r="AA86" i="17"/>
  <c r="M3" i="34"/>
  <c r="M34" i="26"/>
  <c r="N34" i="26" s="1"/>
  <c r="Q38" i="26"/>
  <c r="M34" i="32"/>
  <c r="Q38" i="32"/>
  <c r="M34" i="25"/>
  <c r="N34" i="25" s="1"/>
  <c r="Q38" i="25"/>
  <c r="M36" i="30"/>
  <c r="N36" i="30" s="1"/>
  <c r="M36" i="24"/>
  <c r="N36" i="24" s="1"/>
  <c r="K5" i="7"/>
  <c r="K5" i="8"/>
  <c r="L33" i="17"/>
  <c r="L34" i="17" s="1"/>
  <c r="L35" i="17" s="1"/>
  <c r="L36" i="17" s="1"/>
  <c r="L37" i="17" s="1"/>
  <c r="L38" i="17" s="1"/>
  <c r="L39" i="17" s="1"/>
  <c r="L40" i="17" s="1"/>
  <c r="L41" i="17" s="1"/>
  <c r="L42" i="17" s="1"/>
  <c r="L43" i="17" s="1"/>
  <c r="L44" i="17" s="1"/>
  <c r="L45" i="17" s="1"/>
  <c r="L46" i="17" s="1"/>
  <c r="L47" i="17" s="1"/>
  <c r="L48" i="17" s="1"/>
  <c r="L49" i="17" s="1"/>
  <c r="L50" i="17" s="1"/>
  <c r="L51" i="17" s="1"/>
  <c r="L52" i="17" s="1"/>
  <c r="L53" i="17" s="1"/>
  <c r="L54" i="17" s="1"/>
  <c r="M17" i="23"/>
  <c r="N17" i="32"/>
  <c r="M36" i="9"/>
  <c r="M36" i="22"/>
  <c r="K19" i="6"/>
  <c r="K19" i="33"/>
  <c r="K19" i="24"/>
  <c r="L18" i="6"/>
  <c r="L18" i="8"/>
  <c r="R32" i="17"/>
  <c r="L18" i="4"/>
  <c r="M18" i="4" s="1"/>
  <c r="L18" i="3"/>
  <c r="L4" i="32"/>
  <c r="L4" i="23"/>
  <c r="M36" i="33"/>
  <c r="M36" i="32"/>
  <c r="N36" i="32" s="1"/>
  <c r="M36" i="5"/>
  <c r="N36" i="5" s="1"/>
  <c r="M36" i="26"/>
  <c r="N36" i="26" s="1"/>
  <c r="M36" i="10"/>
  <c r="N36" i="10" s="1"/>
  <c r="N34" i="7"/>
  <c r="J34" i="17"/>
  <c r="N17" i="8"/>
  <c r="N17" i="27"/>
  <c r="N37" i="24"/>
  <c r="N17" i="12"/>
  <c r="N3" i="9"/>
  <c r="N3" i="24"/>
  <c r="N35" i="26"/>
  <c r="N34" i="30"/>
  <c r="H23" i="20"/>
  <c r="N17" i="2"/>
  <c r="I10" i="35"/>
  <c r="F10" i="35"/>
  <c r="B17" i="21"/>
  <c r="C17" i="21" s="1"/>
  <c r="H10" i="35"/>
  <c r="H10" i="20"/>
  <c r="J34" i="14"/>
  <c r="L34" i="14"/>
  <c r="D18" i="21"/>
  <c r="T15" i="35"/>
  <c r="V15" i="35"/>
  <c r="E16" i="20"/>
  <c r="F48" i="1"/>
  <c r="H48" i="1" s="1"/>
  <c r="I48" i="1" s="1"/>
  <c r="J48" i="1" s="1"/>
  <c r="K48" i="1" s="1"/>
  <c r="M48" i="1" s="1"/>
  <c r="J50" i="1"/>
  <c r="K50" i="1" s="1"/>
  <c r="G10" i="35"/>
  <c r="M35" i="14"/>
  <c r="G10" i="20"/>
  <c r="C18" i="21"/>
  <c r="M34" i="14"/>
  <c r="Y3" i="17"/>
  <c r="H6" i="20"/>
  <c r="F26" i="20" s="1"/>
  <c r="H6" i="35"/>
  <c r="B13" i="21"/>
  <c r="D13" i="21" s="1"/>
  <c r="H35" i="14"/>
  <c r="F13" i="21" s="1"/>
  <c r="H34" i="14"/>
  <c r="E13" i="21" s="1"/>
  <c r="K35" i="14"/>
  <c r="J10" i="35"/>
  <c r="K34" i="14"/>
  <c r="J10" i="20"/>
  <c r="J27" i="35"/>
  <c r="K27" i="35"/>
  <c r="J29" i="35"/>
  <c r="K29" i="35"/>
  <c r="J26" i="35"/>
  <c r="K26" i="35"/>
  <c r="L4" i="3" l="1"/>
  <c r="L4" i="9"/>
  <c r="K5" i="13"/>
  <c r="L4" i="33"/>
  <c r="M4" i="33" s="1"/>
  <c r="L4" i="10"/>
  <c r="M4" i="10" s="1"/>
  <c r="L4" i="11"/>
  <c r="M4" i="11" s="1"/>
  <c r="N4" i="11" s="1"/>
  <c r="N18" i="31"/>
  <c r="L4" i="5"/>
  <c r="L4" i="12"/>
  <c r="K5" i="32"/>
  <c r="L4" i="4"/>
  <c r="M4" i="4" s="1"/>
  <c r="N4" i="4" s="1"/>
  <c r="L4" i="34"/>
  <c r="M4" i="34" s="1"/>
  <c r="N4" i="34" s="1"/>
  <c r="L4" i="2"/>
  <c r="M4" i="2" s="1"/>
  <c r="N4" i="2" s="1"/>
  <c r="C32" i="17"/>
  <c r="C33" i="17" s="1"/>
  <c r="L4" i="26"/>
  <c r="M4" i="26" s="1"/>
  <c r="L4" i="13"/>
  <c r="M4" i="13" s="1"/>
  <c r="L4" i="8"/>
  <c r="M4" i="8" s="1"/>
  <c r="L4" i="30"/>
  <c r="L4" i="25"/>
  <c r="M4" i="25" s="1"/>
  <c r="L4" i="28"/>
  <c r="M4" i="28" s="1"/>
  <c r="N4" i="28" s="1"/>
  <c r="L4" i="7"/>
  <c r="M4" i="7" s="1"/>
  <c r="N4" i="7" s="1"/>
  <c r="L4" i="29"/>
  <c r="M4" i="29" s="1"/>
  <c r="N4" i="29" s="1"/>
  <c r="L4" i="31"/>
  <c r="M4" i="31" s="1"/>
  <c r="K5" i="26"/>
  <c r="K5" i="5"/>
  <c r="N4" i="22"/>
  <c r="B6" i="20"/>
  <c r="F22" i="20" s="1"/>
  <c r="B10" i="21"/>
  <c r="C10" i="21" s="1"/>
  <c r="C19" i="21" s="1"/>
  <c r="C21" i="21" s="1"/>
  <c r="C34" i="14"/>
  <c r="C6" i="35"/>
  <c r="B34" i="14"/>
  <c r="B6" i="35"/>
  <c r="K5" i="28"/>
  <c r="K5" i="31"/>
  <c r="N4" i="31"/>
  <c r="L5" i="29"/>
  <c r="M5" i="29" s="1"/>
  <c r="K5" i="23"/>
  <c r="K5" i="11"/>
  <c r="K5" i="2"/>
  <c r="K30" i="35"/>
  <c r="K5" i="34"/>
  <c r="K5" i="22"/>
  <c r="K5" i="29"/>
  <c r="S38" i="13"/>
  <c r="R38" i="13"/>
  <c r="K5" i="24"/>
  <c r="K5" i="30"/>
  <c r="C6" i="17"/>
  <c r="K5" i="27"/>
  <c r="K5" i="33"/>
  <c r="B35" i="14"/>
  <c r="F10" i="21" s="1"/>
  <c r="R35" i="14"/>
  <c r="K10" i="20"/>
  <c r="N4" i="10"/>
  <c r="N18" i="25"/>
  <c r="R34" i="14"/>
  <c r="E6" i="35"/>
  <c r="E6" i="20"/>
  <c r="E35" i="14"/>
  <c r="F12" i="21" s="1"/>
  <c r="B12" i="21"/>
  <c r="D12" i="21" s="1"/>
  <c r="C6" i="20"/>
  <c r="R19" i="20" s="1"/>
  <c r="D6" i="35"/>
  <c r="F6" i="35"/>
  <c r="D35" i="14"/>
  <c r="D34" i="14"/>
  <c r="B11" i="21"/>
  <c r="E11" i="21" s="1"/>
  <c r="I6" i="35"/>
  <c r="N34" i="14"/>
  <c r="F35" i="14"/>
  <c r="F34" i="14"/>
  <c r="B15" i="21"/>
  <c r="N35" i="14"/>
  <c r="AA88" i="17"/>
  <c r="E10" i="20" s="1"/>
  <c r="O32" i="14"/>
  <c r="J6" i="20" s="1"/>
  <c r="B31" i="15"/>
  <c r="D39" i="1" s="1"/>
  <c r="J52" i="14"/>
  <c r="L52" i="14"/>
  <c r="N52" i="14"/>
  <c r="P52" i="14" s="1"/>
  <c r="P12" i="15"/>
  <c r="G6" i="20"/>
  <c r="F25" i="20" s="1"/>
  <c r="H25" i="20" s="1"/>
  <c r="F14" i="21"/>
  <c r="B14" i="21"/>
  <c r="D14" i="21" s="1"/>
  <c r="E14" i="21"/>
  <c r="F28" i="20"/>
  <c r="M28" i="20" s="1"/>
  <c r="F18" i="21"/>
  <c r="G35" i="14"/>
  <c r="G6" i="35"/>
  <c r="I24" i="35" s="1"/>
  <c r="K24" i="35" s="1"/>
  <c r="E17" i="21"/>
  <c r="R43" i="14"/>
  <c r="N43" i="14" s="1"/>
  <c r="T18" i="35"/>
  <c r="D32" i="1" s="1"/>
  <c r="G32" i="1" s="1"/>
  <c r="M50" i="1"/>
  <c r="N18" i="33"/>
  <c r="N18" i="5"/>
  <c r="S38" i="8"/>
  <c r="N18" i="28"/>
  <c r="H49" i="1"/>
  <c r="I49" i="1" s="1"/>
  <c r="J49" i="1" s="1"/>
  <c r="K49" i="1" s="1"/>
  <c r="M49" i="1" s="1"/>
  <c r="S38" i="27"/>
  <c r="N4" i="8"/>
  <c r="N18" i="12"/>
  <c r="N18" i="34"/>
  <c r="N18" i="22"/>
  <c r="N18" i="9"/>
  <c r="N18" i="24"/>
  <c r="F40" i="1"/>
  <c r="H40" i="1" s="1"/>
  <c r="I40" i="1" s="1"/>
  <c r="J40" i="1" s="1"/>
  <c r="K40" i="1" s="1"/>
  <c r="L5" i="10"/>
  <c r="M5" i="10" s="1"/>
  <c r="N5" i="10" s="1"/>
  <c r="K19" i="32"/>
  <c r="R38" i="12"/>
  <c r="N18" i="27"/>
  <c r="L5" i="3"/>
  <c r="M5" i="3" s="1"/>
  <c r="K19" i="34"/>
  <c r="K5" i="6"/>
  <c r="K5" i="9"/>
  <c r="K5" i="12"/>
  <c r="K5" i="25"/>
  <c r="K5" i="4"/>
  <c r="K5" i="3"/>
  <c r="S38" i="31"/>
  <c r="N4" i="27"/>
  <c r="N18" i="13"/>
  <c r="N4" i="13"/>
  <c r="N18" i="10"/>
  <c r="S38" i="24"/>
  <c r="R38" i="24"/>
  <c r="S38" i="34"/>
  <c r="K19" i="30"/>
  <c r="K19" i="5"/>
  <c r="K19" i="2"/>
  <c r="K19" i="31"/>
  <c r="K19" i="8"/>
  <c r="N4" i="25"/>
  <c r="L5" i="26"/>
  <c r="M5" i="26" s="1"/>
  <c r="N5" i="26" s="1"/>
  <c r="L5" i="6"/>
  <c r="M5" i="6" s="1"/>
  <c r="K19" i="27"/>
  <c r="K19" i="10"/>
  <c r="K19" i="9"/>
  <c r="K19" i="13"/>
  <c r="K19" i="29"/>
  <c r="S38" i="29"/>
  <c r="N18" i="23"/>
  <c r="N18" i="2"/>
  <c r="N18" i="7"/>
  <c r="X40" i="17"/>
  <c r="X41" i="17" s="1"/>
  <c r="K19" i="26"/>
  <c r="K19" i="12"/>
  <c r="K19" i="7"/>
  <c r="K19" i="3"/>
  <c r="K19" i="23"/>
  <c r="S38" i="23"/>
  <c r="N18" i="32"/>
  <c r="N4" i="24"/>
  <c r="R38" i="8"/>
  <c r="S38" i="3"/>
  <c r="R38" i="34"/>
  <c r="S38" i="10"/>
  <c r="S38" i="12"/>
  <c r="R38" i="29"/>
  <c r="S38" i="5"/>
  <c r="L5" i="13"/>
  <c r="M5" i="13" s="1"/>
  <c r="N5" i="13" s="1"/>
  <c r="K19" i="28"/>
  <c r="K19" i="11"/>
  <c r="K19" i="25"/>
  <c r="J6" i="17"/>
  <c r="K19" i="22"/>
  <c r="N4" i="26"/>
  <c r="S38" i="11"/>
  <c r="S38" i="26"/>
  <c r="S38" i="25"/>
  <c r="R38" i="25"/>
  <c r="R38" i="3"/>
  <c r="R38" i="30"/>
  <c r="R38" i="26"/>
  <c r="R38" i="23"/>
  <c r="R33" i="17"/>
  <c r="L6" i="26" s="1"/>
  <c r="M6" i="26" s="1"/>
  <c r="L19" i="32"/>
  <c r="L19" i="28"/>
  <c r="L19" i="11"/>
  <c r="L19" i="2"/>
  <c r="L19" i="4"/>
  <c r="M19" i="4" s="1"/>
  <c r="N19" i="4" s="1"/>
  <c r="L19" i="9"/>
  <c r="L19" i="31"/>
  <c r="L19" i="22"/>
  <c r="K6" i="7"/>
  <c r="K6" i="24"/>
  <c r="K6" i="10"/>
  <c r="K6" i="5"/>
  <c r="K6" i="33"/>
  <c r="K6" i="28"/>
  <c r="C7" i="17"/>
  <c r="K7" i="2" s="1"/>
  <c r="K6" i="9"/>
  <c r="K6" i="13"/>
  <c r="K6" i="30"/>
  <c r="K6" i="2"/>
  <c r="K6" i="4"/>
  <c r="K6" i="12"/>
  <c r="K6" i="26"/>
  <c r="K6" i="27"/>
  <c r="K6" i="3"/>
  <c r="K6" i="6"/>
  <c r="K6" i="22"/>
  <c r="K6" i="34"/>
  <c r="K6" i="32"/>
  <c r="K6" i="31"/>
  <c r="K6" i="29"/>
  <c r="K6" i="25"/>
  <c r="K6" i="23"/>
  <c r="K6" i="11"/>
  <c r="K6" i="8"/>
  <c r="R38" i="32"/>
  <c r="N34" i="32"/>
  <c r="S38" i="32" s="1"/>
  <c r="N36" i="2"/>
  <c r="S38" i="2" s="1"/>
  <c r="R38" i="2"/>
  <c r="V7" i="17"/>
  <c r="V8" i="17" s="1"/>
  <c r="V9" i="17" s="1"/>
  <c r="W9" i="35"/>
  <c r="M4" i="23"/>
  <c r="L5" i="28"/>
  <c r="L5" i="27"/>
  <c r="L5" i="8"/>
  <c r="M4" i="12"/>
  <c r="M18" i="8"/>
  <c r="L19" i="26"/>
  <c r="L19" i="34"/>
  <c r="L19" i="25"/>
  <c r="L19" i="29"/>
  <c r="L19" i="23"/>
  <c r="L19" i="24"/>
  <c r="N3" i="34"/>
  <c r="N3" i="26"/>
  <c r="L19" i="12"/>
  <c r="N17" i="31"/>
  <c r="J35" i="17"/>
  <c r="N36" i="33"/>
  <c r="S38" i="33" s="1"/>
  <c r="R38" i="33"/>
  <c r="M4" i="3"/>
  <c r="L5" i="12"/>
  <c r="M5" i="12" s="1"/>
  <c r="L5" i="22"/>
  <c r="L5" i="5"/>
  <c r="M5" i="5" s="1"/>
  <c r="N5" i="5" s="1"/>
  <c r="L5" i="33"/>
  <c r="L5" i="30"/>
  <c r="M5" i="30" s="1"/>
  <c r="L5" i="34"/>
  <c r="M4" i="30"/>
  <c r="N4" i="30" s="1"/>
  <c r="M18" i="3"/>
  <c r="M18" i="6"/>
  <c r="R38" i="22"/>
  <c r="N36" i="22"/>
  <c r="S38" i="22" s="1"/>
  <c r="L19" i="7"/>
  <c r="N17" i="23"/>
  <c r="L19" i="13"/>
  <c r="L19" i="30"/>
  <c r="R38" i="10"/>
  <c r="R38" i="5"/>
  <c r="D10" i="35"/>
  <c r="D10" i="20"/>
  <c r="S38" i="6"/>
  <c r="N34" i="4"/>
  <c r="S38" i="4" s="1"/>
  <c r="R38" i="4"/>
  <c r="L6" i="31"/>
  <c r="M6" i="31" s="1"/>
  <c r="C34" i="17"/>
  <c r="L6" i="11"/>
  <c r="M6" i="11" s="1"/>
  <c r="M4" i="9"/>
  <c r="L19" i="8"/>
  <c r="M19" i="8" s="1"/>
  <c r="L19" i="27"/>
  <c r="N18" i="11"/>
  <c r="N36" i="28"/>
  <c r="S38" i="28" s="1"/>
  <c r="R38" i="28"/>
  <c r="S38" i="30"/>
  <c r="L5" i="2"/>
  <c r="L5" i="4"/>
  <c r="L5" i="23"/>
  <c r="M5" i="23" s="1"/>
  <c r="N5" i="23" s="1"/>
  <c r="L5" i="25"/>
  <c r="K20" i="24"/>
  <c r="M4" i="5"/>
  <c r="L5" i="24"/>
  <c r="L5" i="11"/>
  <c r="L5" i="31"/>
  <c r="L5" i="7"/>
  <c r="L5" i="32"/>
  <c r="M5" i="32" s="1"/>
  <c r="N5" i="32" s="1"/>
  <c r="L5" i="9"/>
  <c r="M5" i="9" s="1"/>
  <c r="M4" i="32"/>
  <c r="N18" i="4"/>
  <c r="N36" i="9"/>
  <c r="S38" i="9" s="1"/>
  <c r="R38" i="9"/>
  <c r="L19" i="6"/>
  <c r="M19" i="6" s="1"/>
  <c r="N19" i="6" s="1"/>
  <c r="L19" i="5"/>
  <c r="L19" i="3"/>
  <c r="M19" i="3" s="1"/>
  <c r="L19" i="33"/>
  <c r="L19" i="10"/>
  <c r="N18" i="26"/>
  <c r="N36" i="7"/>
  <c r="S38" i="7" s="1"/>
  <c r="R38" i="7"/>
  <c r="N3" i="30"/>
  <c r="R38" i="6"/>
  <c r="N4" i="33"/>
  <c r="N3" i="25"/>
  <c r="N3" i="28"/>
  <c r="R38" i="11"/>
  <c r="V18" i="35"/>
  <c r="E32" i="1" s="1"/>
  <c r="I19" i="35"/>
  <c r="I18" i="35"/>
  <c r="I20" i="35"/>
  <c r="I16" i="35"/>
  <c r="I17" i="35"/>
  <c r="J50" i="14"/>
  <c r="N50" i="14"/>
  <c r="P50" i="14" s="1"/>
  <c r="F27" i="20"/>
  <c r="M26" i="20"/>
  <c r="H26" i="20"/>
  <c r="G44" i="14"/>
  <c r="N44" i="14" s="1"/>
  <c r="P44" i="14" s="1"/>
  <c r="G48" i="14"/>
  <c r="G67" i="14"/>
  <c r="E18" i="21"/>
  <c r="H29" i="20"/>
  <c r="M29" i="20"/>
  <c r="N51" i="14"/>
  <c r="P51" i="14" s="1"/>
  <c r="J51" i="14"/>
  <c r="N5" i="30" l="1"/>
  <c r="N5" i="12"/>
  <c r="K20" i="32"/>
  <c r="K20" i="2"/>
  <c r="K20" i="30"/>
  <c r="K20" i="10"/>
  <c r="K20" i="25"/>
  <c r="N5" i="29"/>
  <c r="E10" i="21"/>
  <c r="D19" i="21"/>
  <c r="D21" i="21" s="1"/>
  <c r="F20" i="20"/>
  <c r="H20" i="20" s="1"/>
  <c r="F21" i="20"/>
  <c r="M21" i="20" s="1"/>
  <c r="O35" i="14"/>
  <c r="E10" i="35"/>
  <c r="I32" i="35" s="1"/>
  <c r="K32" i="35" s="1"/>
  <c r="E16" i="21"/>
  <c r="O34" i="14"/>
  <c r="J6" i="35"/>
  <c r="I22" i="35" s="1"/>
  <c r="J22" i="35" s="1"/>
  <c r="B16" i="21"/>
  <c r="F16" i="21"/>
  <c r="F19" i="21" s="1"/>
  <c r="C31" i="15"/>
  <c r="G39" i="1" s="1"/>
  <c r="I39" i="1" s="1"/>
  <c r="H28" i="20"/>
  <c r="M51" i="1"/>
  <c r="H70" i="1"/>
  <c r="I70" i="1"/>
  <c r="J24" i="35"/>
  <c r="G45" i="14"/>
  <c r="N45" i="14" s="1"/>
  <c r="P45" i="14" s="1"/>
  <c r="N5" i="3"/>
  <c r="N5" i="6"/>
  <c r="N5" i="9"/>
  <c r="K20" i="26"/>
  <c r="L6" i="12"/>
  <c r="M6" i="12" s="1"/>
  <c r="N6" i="12" s="1"/>
  <c r="N19" i="3"/>
  <c r="K20" i="11"/>
  <c r="K20" i="6"/>
  <c r="K20" i="22"/>
  <c r="K20" i="7"/>
  <c r="J7" i="17"/>
  <c r="K21" i="4" s="1"/>
  <c r="L6" i="24"/>
  <c r="M6" i="24" s="1"/>
  <c r="N6" i="24" s="1"/>
  <c r="L6" i="10"/>
  <c r="M6" i="10" s="1"/>
  <c r="N6" i="10" s="1"/>
  <c r="L6" i="9"/>
  <c r="M6" i="9" s="1"/>
  <c r="N6" i="9" s="1"/>
  <c r="K20" i="4"/>
  <c r="K20" i="29"/>
  <c r="K20" i="3"/>
  <c r="K20" i="8"/>
  <c r="L6" i="34"/>
  <c r="M6" i="34" s="1"/>
  <c r="N6" i="34" s="1"/>
  <c r="L6" i="29"/>
  <c r="M6" i="29" s="1"/>
  <c r="N6" i="29" s="1"/>
  <c r="L6" i="3"/>
  <c r="M6" i="3" s="1"/>
  <c r="N6" i="3" s="1"/>
  <c r="K20" i="5"/>
  <c r="K20" i="13"/>
  <c r="K20" i="27"/>
  <c r="K20" i="31"/>
  <c r="K20" i="28"/>
  <c r="N19" i="8"/>
  <c r="L6" i="27"/>
  <c r="M6" i="27" s="1"/>
  <c r="N6" i="27" s="1"/>
  <c r="L6" i="4"/>
  <c r="M6" i="4" s="1"/>
  <c r="N6" i="4" s="1"/>
  <c r="L6" i="30"/>
  <c r="M6" i="30" s="1"/>
  <c r="N6" i="30" s="1"/>
  <c r="K20" i="34"/>
  <c r="K20" i="33"/>
  <c r="K20" i="9"/>
  <c r="K20" i="23"/>
  <c r="K20" i="12"/>
  <c r="L6" i="2"/>
  <c r="M6" i="2" s="1"/>
  <c r="N6" i="2" s="1"/>
  <c r="L6" i="8"/>
  <c r="M6" i="8" s="1"/>
  <c r="N6" i="8" s="1"/>
  <c r="L6" i="5"/>
  <c r="M6" i="5" s="1"/>
  <c r="N6" i="5" s="1"/>
  <c r="L6" i="33"/>
  <c r="M6" i="33" s="1"/>
  <c r="N6" i="33" s="1"/>
  <c r="L6" i="23"/>
  <c r="M6" i="23" s="1"/>
  <c r="N6" i="23" s="1"/>
  <c r="L6" i="7"/>
  <c r="M6" i="7" s="1"/>
  <c r="N6" i="7" s="1"/>
  <c r="L6" i="13"/>
  <c r="M6" i="13" s="1"/>
  <c r="N6" i="13" s="1"/>
  <c r="L6" i="6"/>
  <c r="M6" i="6" s="1"/>
  <c r="N6" i="6" s="1"/>
  <c r="L6" i="32"/>
  <c r="M6" i="32" s="1"/>
  <c r="N6" i="32" s="1"/>
  <c r="L6" i="25"/>
  <c r="M6" i="25" s="1"/>
  <c r="N6" i="25" s="1"/>
  <c r="L6" i="28"/>
  <c r="M6" i="28" s="1"/>
  <c r="N6" i="28" s="1"/>
  <c r="L6" i="22"/>
  <c r="M6" i="22" s="1"/>
  <c r="N6" i="22" s="1"/>
  <c r="N6" i="31"/>
  <c r="M5" i="11"/>
  <c r="K21" i="23"/>
  <c r="K21" i="32"/>
  <c r="M5" i="22"/>
  <c r="M19" i="29"/>
  <c r="N4" i="12"/>
  <c r="M5" i="25"/>
  <c r="N4" i="9"/>
  <c r="M19" i="24"/>
  <c r="M19" i="25"/>
  <c r="N18" i="8"/>
  <c r="M5" i="8"/>
  <c r="C8" i="17"/>
  <c r="K8" i="3" s="1"/>
  <c r="K7" i="3"/>
  <c r="K7" i="33"/>
  <c r="K7" i="6"/>
  <c r="K7" i="23"/>
  <c r="K7" i="31"/>
  <c r="K7" i="11"/>
  <c r="K7" i="27"/>
  <c r="K7" i="30"/>
  <c r="K7" i="12"/>
  <c r="K7" i="4"/>
  <c r="K7" i="22"/>
  <c r="K7" i="8"/>
  <c r="K7" i="9"/>
  <c r="K7" i="10"/>
  <c r="K7" i="13"/>
  <c r="K7" i="24"/>
  <c r="K7" i="7"/>
  <c r="K7" i="28"/>
  <c r="K7" i="29"/>
  <c r="K7" i="34"/>
  <c r="K7" i="25"/>
  <c r="K7" i="5"/>
  <c r="K7" i="26"/>
  <c r="K7" i="32"/>
  <c r="M19" i="22"/>
  <c r="M19" i="9"/>
  <c r="M19" i="28"/>
  <c r="M19" i="5"/>
  <c r="M5" i="7"/>
  <c r="M19" i="30"/>
  <c r="M19" i="7"/>
  <c r="M5" i="33"/>
  <c r="M19" i="23"/>
  <c r="M19" i="34"/>
  <c r="M5" i="27"/>
  <c r="N4" i="23"/>
  <c r="V10" i="17"/>
  <c r="V11" i="17" s="1"/>
  <c r="W12" i="35"/>
  <c r="N6" i="26"/>
  <c r="M19" i="31"/>
  <c r="M19" i="32"/>
  <c r="M19" i="33"/>
  <c r="N4" i="5"/>
  <c r="M5" i="2"/>
  <c r="M5" i="34"/>
  <c r="N4" i="3"/>
  <c r="M19" i="11"/>
  <c r="M5" i="24"/>
  <c r="M19" i="27"/>
  <c r="C35" i="17"/>
  <c r="N18" i="3"/>
  <c r="M19" i="10"/>
  <c r="N4" i="32"/>
  <c r="M5" i="31"/>
  <c r="M5" i="4"/>
  <c r="M19" i="13"/>
  <c r="N18" i="6"/>
  <c r="J36" i="17"/>
  <c r="M19" i="12"/>
  <c r="M19" i="26"/>
  <c r="M5" i="28"/>
  <c r="N6" i="11"/>
  <c r="M19" i="2"/>
  <c r="R34" i="17"/>
  <c r="L7" i="8" s="1"/>
  <c r="M7" i="8" s="1"/>
  <c r="L20" i="3"/>
  <c r="L20" i="34"/>
  <c r="M20" i="34" s="1"/>
  <c r="L20" i="29"/>
  <c r="M20" i="29" s="1"/>
  <c r="L20" i="27"/>
  <c r="M20" i="27" s="1"/>
  <c r="L20" i="11"/>
  <c r="M20" i="11" s="1"/>
  <c r="L20" i="9"/>
  <c r="M20" i="9" s="1"/>
  <c r="L20" i="5"/>
  <c r="M20" i="5" s="1"/>
  <c r="L20" i="23"/>
  <c r="M20" i="23" s="1"/>
  <c r="L20" i="28"/>
  <c r="M20" i="28" s="1"/>
  <c r="L20" i="13"/>
  <c r="M20" i="13" s="1"/>
  <c r="N20" i="13" s="1"/>
  <c r="L20" i="7"/>
  <c r="M20" i="7" s="1"/>
  <c r="L20" i="22"/>
  <c r="M20" i="22" s="1"/>
  <c r="L20" i="10"/>
  <c r="M20" i="10" s="1"/>
  <c r="N20" i="10" s="1"/>
  <c r="L20" i="12"/>
  <c r="M20" i="12" s="1"/>
  <c r="L20" i="6"/>
  <c r="M20" i="6" s="1"/>
  <c r="L20" i="32"/>
  <c r="M20" i="32" s="1"/>
  <c r="N20" i="32" s="1"/>
  <c r="L20" i="30"/>
  <c r="M20" i="30" s="1"/>
  <c r="N20" i="30" s="1"/>
  <c r="L20" i="24"/>
  <c r="M20" i="24" s="1"/>
  <c r="N20" i="24" s="1"/>
  <c r="L20" i="26"/>
  <c r="M20" i="26" s="1"/>
  <c r="L20" i="2"/>
  <c r="M20" i="2" s="1"/>
  <c r="L20" i="4"/>
  <c r="M20" i="4" s="1"/>
  <c r="L20" i="25"/>
  <c r="M20" i="25" s="1"/>
  <c r="N20" i="25" s="1"/>
  <c r="L20" i="33"/>
  <c r="M20" i="33" s="1"/>
  <c r="L20" i="31"/>
  <c r="M20" i="31" s="1"/>
  <c r="L20" i="8"/>
  <c r="P43" i="14"/>
  <c r="X42" i="17"/>
  <c r="H22" i="20"/>
  <c r="M22" i="20"/>
  <c r="G48" i="20"/>
  <c r="N67" i="14"/>
  <c r="P67" i="14" s="1"/>
  <c r="I67" i="14"/>
  <c r="J16" i="35"/>
  <c r="K16" i="35"/>
  <c r="L48" i="14"/>
  <c r="L59" i="14" s="1"/>
  <c r="J48" i="14"/>
  <c r="J59" i="14" s="1"/>
  <c r="N48" i="14"/>
  <c r="P48" i="14" s="1"/>
  <c r="K20" i="35"/>
  <c r="L20" i="35" s="1"/>
  <c r="J20" i="35"/>
  <c r="K18" i="35"/>
  <c r="L18" i="35" s="1"/>
  <c r="J18" i="35"/>
  <c r="H27" i="20"/>
  <c r="M27" i="20"/>
  <c r="K17" i="35"/>
  <c r="L17" i="35" s="1"/>
  <c r="J17" i="35"/>
  <c r="J19" i="35"/>
  <c r="K19" i="35"/>
  <c r="L19" i="35" s="1"/>
  <c r="E19" i="21" l="1"/>
  <c r="K21" i="10"/>
  <c r="K21" i="11"/>
  <c r="K21" i="30"/>
  <c r="K21" i="34"/>
  <c r="K21" i="22"/>
  <c r="J39" i="1"/>
  <c r="K39" i="1" s="1"/>
  <c r="M20" i="20"/>
  <c r="H21" i="20"/>
  <c r="I33" i="35"/>
  <c r="K33" i="35" s="1"/>
  <c r="I23" i="35"/>
  <c r="K23" i="35" s="1"/>
  <c r="L23" i="35" s="1"/>
  <c r="S35" i="14"/>
  <c r="T35" i="14" s="1"/>
  <c r="S34" i="14"/>
  <c r="T34" i="14" s="1"/>
  <c r="J32" i="35"/>
  <c r="K22" i="35"/>
  <c r="L22" i="35" s="1"/>
  <c r="N20" i="11"/>
  <c r="N20" i="27"/>
  <c r="N20" i="26"/>
  <c r="K21" i="7"/>
  <c r="K21" i="5"/>
  <c r="K21" i="31"/>
  <c r="K21" i="24"/>
  <c r="J8" i="17"/>
  <c r="K22" i="7" s="1"/>
  <c r="K21" i="6"/>
  <c r="N20" i="22"/>
  <c r="N20" i="29"/>
  <c r="N20" i="28"/>
  <c r="N20" i="31"/>
  <c r="N20" i="2"/>
  <c r="N20" i="23"/>
  <c r="K21" i="8"/>
  <c r="K21" i="3"/>
  <c r="K21" i="29"/>
  <c r="K21" i="12"/>
  <c r="K21" i="2"/>
  <c r="K21" i="26"/>
  <c r="N20" i="6"/>
  <c r="N20" i="7"/>
  <c r="N20" i="5"/>
  <c r="K21" i="13"/>
  <c r="K21" i="9"/>
  <c r="K21" i="25"/>
  <c r="K21" i="33"/>
  <c r="K21" i="27"/>
  <c r="K21" i="28"/>
  <c r="N20" i="33"/>
  <c r="N20" i="12"/>
  <c r="N20" i="34"/>
  <c r="L7" i="27"/>
  <c r="M7" i="27" s="1"/>
  <c r="N7" i="27" s="1"/>
  <c r="L7" i="9"/>
  <c r="M7" i="9" s="1"/>
  <c r="N7" i="9" s="1"/>
  <c r="L7" i="33"/>
  <c r="M7" i="33" s="1"/>
  <c r="N7" i="33" s="1"/>
  <c r="L7" i="29"/>
  <c r="M7" i="29" s="1"/>
  <c r="L7" i="32"/>
  <c r="N20" i="9"/>
  <c r="L7" i="12"/>
  <c r="M7" i="12" s="1"/>
  <c r="N7" i="12" s="1"/>
  <c r="L7" i="30"/>
  <c r="M7" i="30" s="1"/>
  <c r="N7" i="30" s="1"/>
  <c r="L7" i="22"/>
  <c r="M7" i="22" s="1"/>
  <c r="N7" i="22" s="1"/>
  <c r="L7" i="25"/>
  <c r="M7" i="25" s="1"/>
  <c r="N7" i="25" s="1"/>
  <c r="L7" i="28"/>
  <c r="M7" i="28" s="1"/>
  <c r="N7" i="28" s="1"/>
  <c r="L7" i="34"/>
  <c r="M7" i="34" s="1"/>
  <c r="N7" i="34" s="1"/>
  <c r="L7" i="5"/>
  <c r="M7" i="5" s="1"/>
  <c r="N7" i="5" s="1"/>
  <c r="L7" i="4"/>
  <c r="M7" i="4" s="1"/>
  <c r="N7" i="4" s="1"/>
  <c r="L7" i="31"/>
  <c r="M7" i="31" s="1"/>
  <c r="N7" i="31" s="1"/>
  <c r="L7" i="26"/>
  <c r="M7" i="26" s="1"/>
  <c r="N7" i="26" s="1"/>
  <c r="L7" i="24"/>
  <c r="M7" i="24" s="1"/>
  <c r="N7" i="24" s="1"/>
  <c r="L7" i="7"/>
  <c r="M7" i="7" s="1"/>
  <c r="N7" i="7" s="1"/>
  <c r="N5" i="33"/>
  <c r="N5" i="8"/>
  <c r="N19" i="2"/>
  <c r="J37" i="17"/>
  <c r="N19" i="13"/>
  <c r="M7" i="32"/>
  <c r="N7" i="32" s="1"/>
  <c r="N19" i="27"/>
  <c r="N5" i="24"/>
  <c r="N5" i="34"/>
  <c r="N5" i="2"/>
  <c r="N19" i="31"/>
  <c r="N19" i="23"/>
  <c r="N5" i="11"/>
  <c r="C36" i="17"/>
  <c r="N19" i="11"/>
  <c r="N5" i="27"/>
  <c r="N19" i="7"/>
  <c r="N19" i="28"/>
  <c r="N19" i="22"/>
  <c r="N19" i="25"/>
  <c r="N19" i="29"/>
  <c r="J9" i="17"/>
  <c r="K22" i="31"/>
  <c r="K22" i="30"/>
  <c r="K22" i="33"/>
  <c r="K22" i="4"/>
  <c r="K22" i="8"/>
  <c r="K22" i="13"/>
  <c r="M20" i="8"/>
  <c r="M20" i="3"/>
  <c r="N5" i="28"/>
  <c r="N19" i="26"/>
  <c r="N19" i="12"/>
  <c r="N5" i="4"/>
  <c r="N19" i="33"/>
  <c r="N19" i="30"/>
  <c r="N5" i="7"/>
  <c r="N19" i="5"/>
  <c r="N19" i="9"/>
  <c r="N19" i="24"/>
  <c r="R35" i="17"/>
  <c r="L8" i="4" s="1"/>
  <c r="L21" i="26"/>
  <c r="M21" i="26" s="1"/>
  <c r="L21" i="10"/>
  <c r="M21" i="10" s="1"/>
  <c r="N21" i="10" s="1"/>
  <c r="L21" i="28"/>
  <c r="M21" i="28" s="1"/>
  <c r="L21" i="12"/>
  <c r="L21" i="31"/>
  <c r="L21" i="7"/>
  <c r="M21" i="7" s="1"/>
  <c r="L21" i="32"/>
  <c r="L21" i="6"/>
  <c r="M21" i="6" s="1"/>
  <c r="L21" i="23"/>
  <c r="L21" i="5"/>
  <c r="M21" i="5" s="1"/>
  <c r="L21" i="22"/>
  <c r="M21" i="22" s="1"/>
  <c r="N21" i="22" s="1"/>
  <c r="L21" i="13"/>
  <c r="L21" i="8"/>
  <c r="L21" i="2"/>
  <c r="L21" i="25"/>
  <c r="M21" i="25" s="1"/>
  <c r="L21" i="24"/>
  <c r="L21" i="11"/>
  <c r="M21" i="11" s="1"/>
  <c r="L21" i="4"/>
  <c r="L21" i="3"/>
  <c r="M21" i="3" s="1"/>
  <c r="L21" i="34"/>
  <c r="L21" i="30"/>
  <c r="M21" i="30" s="1"/>
  <c r="N21" i="30" s="1"/>
  <c r="L21" i="27"/>
  <c r="L21" i="33"/>
  <c r="M21" i="33" s="1"/>
  <c r="L21" i="9"/>
  <c r="M21" i="9" s="1"/>
  <c r="L21" i="29"/>
  <c r="M21" i="29" s="1"/>
  <c r="N20" i="4"/>
  <c r="N5" i="31"/>
  <c r="N19" i="10"/>
  <c r="L7" i="2"/>
  <c r="L7" i="3"/>
  <c r="L7" i="10"/>
  <c r="L7" i="11"/>
  <c r="L7" i="6"/>
  <c r="L7" i="13"/>
  <c r="L7" i="23"/>
  <c r="N19" i="32"/>
  <c r="V12" i="17"/>
  <c r="L24" i="35"/>
  <c r="N19" i="34"/>
  <c r="N7" i="8"/>
  <c r="C9" i="17"/>
  <c r="K8" i="29"/>
  <c r="K8" i="34"/>
  <c r="K8" i="30"/>
  <c r="K8" i="6"/>
  <c r="K8" i="8"/>
  <c r="K8" i="11"/>
  <c r="K8" i="13"/>
  <c r="K8" i="2"/>
  <c r="K8" i="24"/>
  <c r="K8" i="10"/>
  <c r="K8" i="26"/>
  <c r="K8" i="25"/>
  <c r="K8" i="33"/>
  <c r="K8" i="31"/>
  <c r="K8" i="22"/>
  <c r="K8" i="23"/>
  <c r="K8" i="4"/>
  <c r="K8" i="12"/>
  <c r="K8" i="9"/>
  <c r="K8" i="7"/>
  <c r="K8" i="28"/>
  <c r="K8" i="32"/>
  <c r="K8" i="27"/>
  <c r="K8" i="5"/>
  <c r="N5" i="25"/>
  <c r="N5" i="22"/>
  <c r="X43" i="17"/>
  <c r="F20" i="21"/>
  <c r="F21" i="21" s="1"/>
  <c r="L16" i="35"/>
  <c r="E20" i="21"/>
  <c r="E21" i="21" l="1"/>
  <c r="N21" i="6"/>
  <c r="J33" i="35"/>
  <c r="J23" i="35"/>
  <c r="G77" i="14"/>
  <c r="K34" i="35"/>
  <c r="E33" i="1" s="1"/>
  <c r="G64" i="14"/>
  <c r="G66" i="14"/>
  <c r="G65" i="14"/>
  <c r="G69" i="14"/>
  <c r="G68" i="14"/>
  <c r="N21" i="5"/>
  <c r="N21" i="9"/>
  <c r="N21" i="28"/>
  <c r="N21" i="29"/>
  <c r="K22" i="24"/>
  <c r="K22" i="2"/>
  <c r="K22" i="9"/>
  <c r="K22" i="6"/>
  <c r="K22" i="27"/>
  <c r="K22" i="10"/>
  <c r="K22" i="29"/>
  <c r="K22" i="11"/>
  <c r="K22" i="3"/>
  <c r="K22" i="32"/>
  <c r="K22" i="23"/>
  <c r="K22" i="5"/>
  <c r="N21" i="7"/>
  <c r="K22" i="34"/>
  <c r="K22" i="12"/>
  <c r="K22" i="26"/>
  <c r="K22" i="28"/>
  <c r="K22" i="25"/>
  <c r="K22" i="22"/>
  <c r="N21" i="33"/>
  <c r="N21" i="25"/>
  <c r="L8" i="27"/>
  <c r="M8" i="27" s="1"/>
  <c r="N8" i="27" s="1"/>
  <c r="L8" i="24"/>
  <c r="M8" i="24" s="1"/>
  <c r="L8" i="32"/>
  <c r="M8" i="32" s="1"/>
  <c r="N8" i="32" s="1"/>
  <c r="N21" i="3"/>
  <c r="L8" i="28"/>
  <c r="M8" i="28" s="1"/>
  <c r="L8" i="13"/>
  <c r="M8" i="13" s="1"/>
  <c r="N8" i="13" s="1"/>
  <c r="L8" i="3"/>
  <c r="M8" i="3" s="1"/>
  <c r="N8" i="3" s="1"/>
  <c r="N21" i="26"/>
  <c r="L8" i="30"/>
  <c r="M8" i="30" s="1"/>
  <c r="N8" i="30" s="1"/>
  <c r="L8" i="33"/>
  <c r="M8" i="33" s="1"/>
  <c r="L8" i="25"/>
  <c r="M8" i="25" s="1"/>
  <c r="L8" i="22"/>
  <c r="M8" i="22" s="1"/>
  <c r="N8" i="22" s="1"/>
  <c r="N20" i="8"/>
  <c r="K9" i="11"/>
  <c r="K9" i="4"/>
  <c r="K9" i="9"/>
  <c r="K9" i="26"/>
  <c r="K9" i="12"/>
  <c r="K9" i="23"/>
  <c r="K9" i="28"/>
  <c r="K9" i="32"/>
  <c r="K9" i="2"/>
  <c r="K9" i="33"/>
  <c r="K9" i="13"/>
  <c r="K9" i="34"/>
  <c r="K9" i="10"/>
  <c r="K9" i="29"/>
  <c r="K9" i="30"/>
  <c r="K9" i="7"/>
  <c r="K9" i="3"/>
  <c r="K9" i="25"/>
  <c r="K9" i="5"/>
  <c r="K9" i="31"/>
  <c r="K9" i="24"/>
  <c r="C10" i="17"/>
  <c r="K9" i="22"/>
  <c r="K9" i="8"/>
  <c r="K9" i="27"/>
  <c r="K9" i="6"/>
  <c r="V13" i="17"/>
  <c r="W15" i="35"/>
  <c r="M7" i="13"/>
  <c r="M7" i="3"/>
  <c r="N21" i="11"/>
  <c r="M21" i="8"/>
  <c r="N21" i="8" s="1"/>
  <c r="M21" i="23"/>
  <c r="M21" i="31"/>
  <c r="M8" i="4"/>
  <c r="N7" i="29"/>
  <c r="M7" i="6"/>
  <c r="M7" i="2"/>
  <c r="M21" i="34"/>
  <c r="M21" i="24"/>
  <c r="M21" i="13"/>
  <c r="M21" i="12"/>
  <c r="R36" i="17"/>
  <c r="L9" i="25" s="1"/>
  <c r="M9" i="25" s="1"/>
  <c r="L22" i="26"/>
  <c r="L22" i="11"/>
  <c r="L22" i="30"/>
  <c r="M22" i="30" s="1"/>
  <c r="N22" i="30" s="1"/>
  <c r="L22" i="4"/>
  <c r="M22" i="4" s="1"/>
  <c r="N22" i="4" s="1"/>
  <c r="L22" i="33"/>
  <c r="L22" i="28"/>
  <c r="L22" i="12"/>
  <c r="M22" i="12" s="1"/>
  <c r="L22" i="24"/>
  <c r="M22" i="24" s="1"/>
  <c r="L22" i="3"/>
  <c r="L22" i="32"/>
  <c r="M22" i="32" s="1"/>
  <c r="L22" i="22"/>
  <c r="L22" i="27"/>
  <c r="M22" i="27" s="1"/>
  <c r="L22" i="9"/>
  <c r="L22" i="23"/>
  <c r="M22" i="23" s="1"/>
  <c r="L22" i="29"/>
  <c r="L22" i="8"/>
  <c r="M22" i="8" s="1"/>
  <c r="N22" i="8" s="1"/>
  <c r="L22" i="2"/>
  <c r="M22" i="2" s="1"/>
  <c r="L22" i="31"/>
  <c r="M22" i="31" s="1"/>
  <c r="N22" i="31" s="1"/>
  <c r="L22" i="7"/>
  <c r="L22" i="10"/>
  <c r="L22" i="5"/>
  <c r="L22" i="6"/>
  <c r="L22" i="13"/>
  <c r="M22" i="13" s="1"/>
  <c r="N22" i="13" s="1"/>
  <c r="L22" i="34"/>
  <c r="M22" i="34" s="1"/>
  <c r="L22" i="25"/>
  <c r="L8" i="7"/>
  <c r="L8" i="31"/>
  <c r="L8" i="11"/>
  <c r="M8" i="11" s="1"/>
  <c r="N8" i="11" s="1"/>
  <c r="L8" i="26"/>
  <c r="L8" i="12"/>
  <c r="L8" i="34"/>
  <c r="L8" i="5"/>
  <c r="L8" i="9"/>
  <c r="L8" i="29"/>
  <c r="L8" i="2"/>
  <c r="M8" i="2" s="1"/>
  <c r="N8" i="2" s="1"/>
  <c r="L8" i="8"/>
  <c r="L8" i="10"/>
  <c r="M8" i="10" s="1"/>
  <c r="N8" i="10" s="1"/>
  <c r="N20" i="3"/>
  <c r="L8" i="6"/>
  <c r="M8" i="6" s="1"/>
  <c r="N8" i="6" s="1"/>
  <c r="L8" i="23"/>
  <c r="M8" i="23" s="1"/>
  <c r="N8" i="23" s="1"/>
  <c r="M7" i="11"/>
  <c r="M21" i="32"/>
  <c r="K23" i="24"/>
  <c r="K23" i="23"/>
  <c r="K23" i="13"/>
  <c r="K23" i="27"/>
  <c r="K23" i="11"/>
  <c r="K23" i="7"/>
  <c r="J10" i="17"/>
  <c r="K23" i="30"/>
  <c r="K23" i="6"/>
  <c r="K23" i="26"/>
  <c r="K23" i="29"/>
  <c r="K23" i="33"/>
  <c r="K23" i="10"/>
  <c r="K23" i="22"/>
  <c r="K23" i="28"/>
  <c r="K23" i="5"/>
  <c r="K23" i="12"/>
  <c r="K23" i="31"/>
  <c r="K23" i="2"/>
  <c r="K23" i="8"/>
  <c r="K23" i="32"/>
  <c r="K23" i="4"/>
  <c r="K23" i="34"/>
  <c r="K23" i="3"/>
  <c r="K23" i="25"/>
  <c r="K23" i="9"/>
  <c r="C37" i="17"/>
  <c r="J38" i="17"/>
  <c r="M7" i="23"/>
  <c r="M7" i="10"/>
  <c r="M21" i="27"/>
  <c r="M21" i="4"/>
  <c r="M21" i="2"/>
  <c r="X44" i="17"/>
  <c r="X45" i="17" s="1"/>
  <c r="X46" i="17" s="1"/>
  <c r="X47" i="17" s="1"/>
  <c r="X48" i="17" s="1"/>
  <c r="X49" i="17" s="1"/>
  <c r="X50" i="17" s="1"/>
  <c r="X51" i="17" s="1"/>
  <c r="X52" i="17" s="1"/>
  <c r="X53" i="17" s="1"/>
  <c r="X54" i="17" s="1"/>
  <c r="J44" i="1"/>
  <c r="K44" i="1" s="1"/>
  <c r="T36" i="14"/>
  <c r="L9" i="8" l="1"/>
  <c r="M9" i="8" s="1"/>
  <c r="L9" i="2"/>
  <c r="M9" i="2" s="1"/>
  <c r="N9" i="2" s="1"/>
  <c r="L9" i="26"/>
  <c r="M9" i="26" s="1"/>
  <c r="L9" i="11"/>
  <c r="M9" i="11" s="1"/>
  <c r="L9" i="4"/>
  <c r="M9" i="4" s="1"/>
  <c r="N9" i="4" s="1"/>
  <c r="L9" i="34"/>
  <c r="M9" i="34" s="1"/>
  <c r="N9" i="34" s="1"/>
  <c r="L9" i="10"/>
  <c r="M9" i="10" s="1"/>
  <c r="N9" i="10" s="1"/>
  <c r="L9" i="31"/>
  <c r="M9" i="31" s="1"/>
  <c r="L9" i="30"/>
  <c r="M9" i="30" s="1"/>
  <c r="N9" i="30" s="1"/>
  <c r="L9" i="22"/>
  <c r="M9" i="22" s="1"/>
  <c r="N9" i="22" s="1"/>
  <c r="L9" i="29"/>
  <c r="M9" i="29" s="1"/>
  <c r="N9" i="29" s="1"/>
  <c r="L9" i="33"/>
  <c r="M9" i="33" s="1"/>
  <c r="N9" i="33" s="1"/>
  <c r="L9" i="9"/>
  <c r="M9" i="9" s="1"/>
  <c r="N9" i="9" s="1"/>
  <c r="J34" i="35"/>
  <c r="D33" i="1" s="1"/>
  <c r="G33" i="1" s="1"/>
  <c r="G46" i="14"/>
  <c r="G56" i="14" s="1"/>
  <c r="G47" i="14"/>
  <c r="N47" i="14" s="1"/>
  <c r="P47" i="14" s="1"/>
  <c r="N22" i="12"/>
  <c r="N22" i="23"/>
  <c r="N22" i="2"/>
  <c r="N22" i="27"/>
  <c r="N22" i="24"/>
  <c r="N22" i="34"/>
  <c r="N22" i="32"/>
  <c r="N9" i="11"/>
  <c r="L9" i="12"/>
  <c r="M9" i="12" s="1"/>
  <c r="N9" i="12" s="1"/>
  <c r="L9" i="7"/>
  <c r="M9" i="7" s="1"/>
  <c r="N9" i="7" s="1"/>
  <c r="L9" i="27"/>
  <c r="M9" i="27" s="1"/>
  <c r="N9" i="27" s="1"/>
  <c r="L9" i="13"/>
  <c r="M9" i="13" s="1"/>
  <c r="N9" i="13" s="1"/>
  <c r="L9" i="23"/>
  <c r="M9" i="23" s="1"/>
  <c r="N9" i="23" s="1"/>
  <c r="L9" i="3"/>
  <c r="M9" i="3" s="1"/>
  <c r="N9" i="3" s="1"/>
  <c r="L9" i="24"/>
  <c r="M9" i="24" s="1"/>
  <c r="N9" i="24" s="1"/>
  <c r="L9" i="32"/>
  <c r="M9" i="32" s="1"/>
  <c r="N9" i="32" s="1"/>
  <c r="L9" i="5"/>
  <c r="M9" i="5" s="1"/>
  <c r="N9" i="5" s="1"/>
  <c r="L9" i="28"/>
  <c r="M9" i="28" s="1"/>
  <c r="N9" i="28" s="1"/>
  <c r="L9" i="6"/>
  <c r="M9" i="6" s="1"/>
  <c r="N9" i="6" s="1"/>
  <c r="N9" i="31"/>
  <c r="N9" i="25"/>
  <c r="M8" i="12"/>
  <c r="M22" i="6"/>
  <c r="M22" i="28"/>
  <c r="N21" i="12"/>
  <c r="N21" i="24"/>
  <c r="N7" i="6"/>
  <c r="N72" i="14"/>
  <c r="P72" i="14" s="1"/>
  <c r="W18" i="35"/>
  <c r="F32" i="1" s="1"/>
  <c r="H32" i="1" s="1"/>
  <c r="I32" i="1" s="1"/>
  <c r="J32" i="1" s="1"/>
  <c r="K32" i="1" s="1"/>
  <c r="N8" i="24"/>
  <c r="M8" i="9"/>
  <c r="M8" i="26"/>
  <c r="M22" i="25"/>
  <c r="M22" i="5"/>
  <c r="M22" i="9"/>
  <c r="M22" i="3"/>
  <c r="M22" i="33"/>
  <c r="M22" i="26"/>
  <c r="N7" i="2"/>
  <c r="N8" i="4"/>
  <c r="N21" i="31"/>
  <c r="N7" i="13"/>
  <c r="M27" i="8"/>
  <c r="N27" i="8" s="1"/>
  <c r="M27" i="34"/>
  <c r="N27" i="34" s="1"/>
  <c r="M27" i="30"/>
  <c r="N27" i="30" s="1"/>
  <c r="M27" i="33"/>
  <c r="N27" i="33" s="1"/>
  <c r="V14" i="17"/>
  <c r="M27" i="32"/>
  <c r="N27" i="32" s="1"/>
  <c r="M27" i="13"/>
  <c r="N27" i="13" s="1"/>
  <c r="M27" i="11"/>
  <c r="N27" i="11" s="1"/>
  <c r="M27" i="4"/>
  <c r="N27" i="4" s="1"/>
  <c r="M27" i="2"/>
  <c r="N27" i="2" s="1"/>
  <c r="M27" i="25"/>
  <c r="N27" i="25" s="1"/>
  <c r="M27" i="6"/>
  <c r="N27" i="6" s="1"/>
  <c r="M27" i="22"/>
  <c r="N27" i="22" s="1"/>
  <c r="M27" i="5"/>
  <c r="N27" i="5" s="1"/>
  <c r="M27" i="27"/>
  <c r="N27" i="27" s="1"/>
  <c r="M27" i="28"/>
  <c r="N27" i="28" s="1"/>
  <c r="M27" i="12"/>
  <c r="N27" i="12" s="1"/>
  <c r="M27" i="26"/>
  <c r="N27" i="26" s="1"/>
  <c r="M27" i="3"/>
  <c r="N27" i="3" s="1"/>
  <c r="M27" i="23"/>
  <c r="N27" i="23" s="1"/>
  <c r="M27" i="9"/>
  <c r="N27" i="9" s="1"/>
  <c r="M27" i="10"/>
  <c r="N27" i="10" s="1"/>
  <c r="M27" i="24"/>
  <c r="N27" i="24" s="1"/>
  <c r="M27" i="7"/>
  <c r="N27" i="7" s="1"/>
  <c r="M27" i="29"/>
  <c r="M27" i="31"/>
  <c r="N27" i="31" s="1"/>
  <c r="L26" i="35"/>
  <c r="N8" i="25"/>
  <c r="N21" i="2"/>
  <c r="N21" i="27"/>
  <c r="N21" i="32"/>
  <c r="M8" i="8"/>
  <c r="M8" i="5"/>
  <c r="M22" i="10"/>
  <c r="R37" i="17"/>
  <c r="L10" i="29" s="1"/>
  <c r="M10" i="29" s="1"/>
  <c r="L23" i="22"/>
  <c r="M23" i="22" s="1"/>
  <c r="N23" i="22" s="1"/>
  <c r="L23" i="8"/>
  <c r="L23" i="29"/>
  <c r="M23" i="29" s="1"/>
  <c r="N23" i="29" s="1"/>
  <c r="L23" i="10"/>
  <c r="M23" i="10" s="1"/>
  <c r="N23" i="10" s="1"/>
  <c r="L23" i="4"/>
  <c r="L23" i="32"/>
  <c r="M23" i="32" s="1"/>
  <c r="N23" i="32" s="1"/>
  <c r="L23" i="25"/>
  <c r="M23" i="25" s="1"/>
  <c r="N23" i="25" s="1"/>
  <c r="L23" i="23"/>
  <c r="M23" i="23" s="1"/>
  <c r="N23" i="23" s="1"/>
  <c r="L23" i="6"/>
  <c r="M23" i="6" s="1"/>
  <c r="N23" i="6" s="1"/>
  <c r="L23" i="11"/>
  <c r="M23" i="11" s="1"/>
  <c r="N23" i="11" s="1"/>
  <c r="L23" i="28"/>
  <c r="M23" i="28" s="1"/>
  <c r="N23" i="28" s="1"/>
  <c r="L23" i="2"/>
  <c r="L23" i="5"/>
  <c r="M23" i="5" s="1"/>
  <c r="N23" i="5" s="1"/>
  <c r="L23" i="12"/>
  <c r="M23" i="12" s="1"/>
  <c r="N23" i="12" s="1"/>
  <c r="L23" i="3"/>
  <c r="M23" i="3" s="1"/>
  <c r="N23" i="3" s="1"/>
  <c r="L23" i="27"/>
  <c r="L23" i="24"/>
  <c r="L23" i="31"/>
  <c r="M23" i="31" s="1"/>
  <c r="N23" i="31" s="1"/>
  <c r="L23" i="26"/>
  <c r="M23" i="26" s="1"/>
  <c r="N23" i="26" s="1"/>
  <c r="L23" i="13"/>
  <c r="L23" i="33"/>
  <c r="M23" i="33" s="1"/>
  <c r="N23" i="33" s="1"/>
  <c r="L23" i="30"/>
  <c r="L23" i="7"/>
  <c r="M23" i="7" s="1"/>
  <c r="N23" i="7" s="1"/>
  <c r="L23" i="9"/>
  <c r="M23" i="9" s="1"/>
  <c r="N23" i="9" s="1"/>
  <c r="L23" i="34"/>
  <c r="N21" i="13"/>
  <c r="N21" i="34"/>
  <c r="N7" i="3"/>
  <c r="N9" i="8"/>
  <c r="N9" i="26"/>
  <c r="N7" i="23"/>
  <c r="J39" i="17"/>
  <c r="L10" i="22"/>
  <c r="M10" i="22" s="1"/>
  <c r="C38" i="17"/>
  <c r="M8" i="29"/>
  <c r="N8" i="29" s="1"/>
  <c r="M8" i="7"/>
  <c r="M22" i="11"/>
  <c r="C11" i="17"/>
  <c r="K10" i="31"/>
  <c r="K10" i="2"/>
  <c r="K10" i="7"/>
  <c r="K10" i="6"/>
  <c r="K10" i="23"/>
  <c r="K10" i="27"/>
  <c r="K10" i="10"/>
  <c r="K10" i="11"/>
  <c r="K10" i="30"/>
  <c r="K10" i="22"/>
  <c r="K10" i="8"/>
  <c r="K10" i="33"/>
  <c r="K10" i="24"/>
  <c r="K10" i="29"/>
  <c r="K10" i="12"/>
  <c r="K10" i="34"/>
  <c r="K10" i="28"/>
  <c r="K10" i="4"/>
  <c r="K10" i="32"/>
  <c r="K10" i="5"/>
  <c r="K10" i="26"/>
  <c r="K10" i="25"/>
  <c r="K10" i="3"/>
  <c r="K10" i="13"/>
  <c r="K10" i="9"/>
  <c r="N7" i="10"/>
  <c r="N21" i="4"/>
  <c r="J11" i="17"/>
  <c r="K24" i="33"/>
  <c r="K24" i="31"/>
  <c r="K24" i="2"/>
  <c r="K24" i="29"/>
  <c r="K24" i="26"/>
  <c r="K24" i="22"/>
  <c r="K24" i="25"/>
  <c r="K24" i="13"/>
  <c r="K24" i="9"/>
  <c r="K24" i="30"/>
  <c r="K24" i="12"/>
  <c r="K24" i="7"/>
  <c r="K24" i="5"/>
  <c r="K24" i="3"/>
  <c r="K24" i="8"/>
  <c r="K24" i="34"/>
  <c r="K24" i="28"/>
  <c r="K24" i="32"/>
  <c r="K24" i="23"/>
  <c r="K24" i="27"/>
  <c r="K24" i="6"/>
  <c r="K24" i="24"/>
  <c r="K24" i="4"/>
  <c r="K24" i="10"/>
  <c r="K24" i="11"/>
  <c r="N7" i="11"/>
  <c r="M8" i="34"/>
  <c r="M8" i="31"/>
  <c r="M22" i="7"/>
  <c r="M22" i="29"/>
  <c r="N22" i="29" s="1"/>
  <c r="M22" i="22"/>
  <c r="N8" i="28"/>
  <c r="N21" i="23"/>
  <c r="N8" i="33"/>
  <c r="I68" i="14"/>
  <c r="B80" i="14"/>
  <c r="N68" i="14"/>
  <c r="P68" i="14" s="1"/>
  <c r="N66" i="14"/>
  <c r="P66" i="14" s="1"/>
  <c r="I66" i="14"/>
  <c r="I69" i="14"/>
  <c r="N69" i="14"/>
  <c r="P69" i="14" s="1"/>
  <c r="B79" i="14"/>
  <c r="I65" i="14"/>
  <c r="N65" i="14"/>
  <c r="P65" i="14" s="1"/>
  <c r="I64" i="14"/>
  <c r="N64" i="14"/>
  <c r="P64" i="14" s="1"/>
  <c r="E36" i="1"/>
  <c r="N77" i="14"/>
  <c r="L10" i="3" l="1"/>
  <c r="M10" i="3" s="1"/>
  <c r="L10" i="31"/>
  <c r="M10" i="31" s="1"/>
  <c r="N10" i="31" s="1"/>
  <c r="L10" i="34"/>
  <c r="M10" i="34" s="1"/>
  <c r="L10" i="5"/>
  <c r="M10" i="5" s="1"/>
  <c r="N10" i="5" s="1"/>
  <c r="L10" i="13"/>
  <c r="L10" i="9"/>
  <c r="M10" i="9" s="1"/>
  <c r="N10" i="9" s="1"/>
  <c r="L10" i="4"/>
  <c r="M10" i="4" s="1"/>
  <c r="N10" i="4" s="1"/>
  <c r="L10" i="33"/>
  <c r="M10" i="33" s="1"/>
  <c r="N10" i="33" s="1"/>
  <c r="G49" i="14"/>
  <c r="N49" i="14" s="1"/>
  <c r="P49" i="14" s="1"/>
  <c r="G58" i="14"/>
  <c r="N58" i="14" s="1"/>
  <c r="P58" i="14" s="1"/>
  <c r="N46" i="14"/>
  <c r="P46" i="14" s="1"/>
  <c r="L10" i="23"/>
  <c r="M10" i="23" s="1"/>
  <c r="N10" i="23" s="1"/>
  <c r="L10" i="27"/>
  <c r="M10" i="27" s="1"/>
  <c r="N10" i="27" s="1"/>
  <c r="L10" i="2"/>
  <c r="M10" i="2" s="1"/>
  <c r="N10" i="2" s="1"/>
  <c r="L10" i="8"/>
  <c r="M10" i="8" s="1"/>
  <c r="N10" i="8" s="1"/>
  <c r="L10" i="32"/>
  <c r="M10" i="32" s="1"/>
  <c r="N10" i="32" s="1"/>
  <c r="L10" i="7"/>
  <c r="M10" i="7" s="1"/>
  <c r="N10" i="7" s="1"/>
  <c r="L10" i="11"/>
  <c r="M10" i="11" s="1"/>
  <c r="N10" i="11" s="1"/>
  <c r="L10" i="12"/>
  <c r="M10" i="12" s="1"/>
  <c r="N10" i="12" s="1"/>
  <c r="L10" i="24"/>
  <c r="M10" i="24" s="1"/>
  <c r="N10" i="24" s="1"/>
  <c r="L10" i="10"/>
  <c r="M10" i="10" s="1"/>
  <c r="L10" i="30"/>
  <c r="M10" i="30" s="1"/>
  <c r="N10" i="30" s="1"/>
  <c r="L10" i="25"/>
  <c r="M10" i="25" s="1"/>
  <c r="N10" i="25" s="1"/>
  <c r="L10" i="6"/>
  <c r="M10" i="6" s="1"/>
  <c r="N10" i="6" s="1"/>
  <c r="L10" i="28"/>
  <c r="M10" i="28" s="1"/>
  <c r="L10" i="26"/>
  <c r="M10" i="26" s="1"/>
  <c r="N10" i="26" s="1"/>
  <c r="N10" i="29"/>
  <c r="N10" i="22"/>
  <c r="K25" i="33"/>
  <c r="K25" i="4"/>
  <c r="K25" i="29"/>
  <c r="K25" i="3"/>
  <c r="K25" i="30"/>
  <c r="K25" i="27"/>
  <c r="K25" i="2"/>
  <c r="K25" i="22"/>
  <c r="K25" i="13"/>
  <c r="K25" i="6"/>
  <c r="K25" i="11"/>
  <c r="K25" i="25"/>
  <c r="K25" i="9"/>
  <c r="K25" i="5"/>
  <c r="K25" i="31"/>
  <c r="K25" i="24"/>
  <c r="J12" i="17"/>
  <c r="K25" i="8"/>
  <c r="K25" i="12"/>
  <c r="K25" i="28"/>
  <c r="K25" i="34"/>
  <c r="K25" i="7"/>
  <c r="K25" i="10"/>
  <c r="K25" i="32"/>
  <c r="K25" i="23"/>
  <c r="K25" i="26"/>
  <c r="N8" i="5"/>
  <c r="N8" i="12"/>
  <c r="N22" i="22"/>
  <c r="N22" i="7"/>
  <c r="J40" i="17"/>
  <c r="J41" i="17" s="1"/>
  <c r="J42" i="17" s="1"/>
  <c r="J43" i="17" s="1"/>
  <c r="J44" i="17" s="1"/>
  <c r="J45" i="17" s="1"/>
  <c r="J46" i="17" s="1"/>
  <c r="J47" i="17" s="1"/>
  <c r="J48" i="17" s="1"/>
  <c r="J49" i="17" s="1"/>
  <c r="J50" i="17" s="1"/>
  <c r="J51" i="17" s="1"/>
  <c r="J52" i="17" s="1"/>
  <c r="J53" i="17" s="1"/>
  <c r="J54" i="17" s="1"/>
  <c r="M23" i="30"/>
  <c r="M23" i="8"/>
  <c r="N22" i="10"/>
  <c r="N22" i="33"/>
  <c r="N22" i="9"/>
  <c r="N22" i="25"/>
  <c r="N22" i="6"/>
  <c r="N8" i="31"/>
  <c r="N10" i="34"/>
  <c r="K11" i="30"/>
  <c r="K11" i="6"/>
  <c r="K11" i="27"/>
  <c r="K11" i="22"/>
  <c r="K11" i="11"/>
  <c r="K11" i="26"/>
  <c r="K11" i="24"/>
  <c r="K11" i="3"/>
  <c r="K11" i="5"/>
  <c r="K11" i="33"/>
  <c r="K11" i="29"/>
  <c r="K11" i="10"/>
  <c r="K11" i="12"/>
  <c r="K11" i="34"/>
  <c r="K11" i="23"/>
  <c r="K11" i="2"/>
  <c r="K11" i="7"/>
  <c r="K11" i="28"/>
  <c r="K11" i="31"/>
  <c r="K11" i="8"/>
  <c r="C12" i="17"/>
  <c r="K12" i="3" s="1"/>
  <c r="K11" i="13"/>
  <c r="K11" i="32"/>
  <c r="K11" i="4"/>
  <c r="K11" i="25"/>
  <c r="K11" i="9"/>
  <c r="N8" i="26"/>
  <c r="N8" i="7"/>
  <c r="M10" i="13"/>
  <c r="N10" i="13" s="1"/>
  <c r="M23" i="34"/>
  <c r="M23" i="24"/>
  <c r="M23" i="4"/>
  <c r="N27" i="29"/>
  <c r="V15" i="17"/>
  <c r="L27" i="35"/>
  <c r="N8" i="34"/>
  <c r="N22" i="11"/>
  <c r="C39" i="17"/>
  <c r="M23" i="13"/>
  <c r="M23" i="27"/>
  <c r="M23" i="2"/>
  <c r="R38" i="17"/>
  <c r="L11" i="28" s="1"/>
  <c r="M11" i="28" s="1"/>
  <c r="L24" i="22"/>
  <c r="L24" i="7"/>
  <c r="L24" i="8"/>
  <c r="M24" i="8" s="1"/>
  <c r="N24" i="8" s="1"/>
  <c r="L24" i="25"/>
  <c r="M24" i="25" s="1"/>
  <c r="N24" i="25" s="1"/>
  <c r="L24" i="34"/>
  <c r="M24" i="34" s="1"/>
  <c r="N24" i="34" s="1"/>
  <c r="L24" i="28"/>
  <c r="M24" i="28" s="1"/>
  <c r="N24" i="28" s="1"/>
  <c r="L24" i="2"/>
  <c r="M24" i="2" s="1"/>
  <c r="N24" i="2" s="1"/>
  <c r="L24" i="29"/>
  <c r="M24" i="29" s="1"/>
  <c r="N24" i="29" s="1"/>
  <c r="L24" i="9"/>
  <c r="L24" i="30"/>
  <c r="M24" i="30" s="1"/>
  <c r="N24" i="30" s="1"/>
  <c r="L24" i="31"/>
  <c r="M24" i="31" s="1"/>
  <c r="N24" i="31" s="1"/>
  <c r="L24" i="11"/>
  <c r="L24" i="33"/>
  <c r="L24" i="27"/>
  <c r="M24" i="27" s="1"/>
  <c r="N24" i="27" s="1"/>
  <c r="L24" i="13"/>
  <c r="M24" i="13" s="1"/>
  <c r="N24" i="13" s="1"/>
  <c r="L24" i="26"/>
  <c r="M24" i="26" s="1"/>
  <c r="N24" i="26" s="1"/>
  <c r="L24" i="6"/>
  <c r="L24" i="32"/>
  <c r="M24" i="32" s="1"/>
  <c r="N24" i="32" s="1"/>
  <c r="L24" i="12"/>
  <c r="M24" i="12" s="1"/>
  <c r="N24" i="12" s="1"/>
  <c r="L24" i="24"/>
  <c r="M24" i="24" s="1"/>
  <c r="N24" i="24" s="1"/>
  <c r="L24" i="4"/>
  <c r="M24" i="4" s="1"/>
  <c r="N24" i="4" s="1"/>
  <c r="L24" i="5"/>
  <c r="M24" i="5" s="1"/>
  <c r="L24" i="3"/>
  <c r="M24" i="3" s="1"/>
  <c r="N24" i="3" s="1"/>
  <c r="L24" i="23"/>
  <c r="L24" i="10"/>
  <c r="N8" i="8"/>
  <c r="N22" i="26"/>
  <c r="N22" i="3"/>
  <c r="N22" i="5"/>
  <c r="N8" i="9"/>
  <c r="N22" i="28"/>
  <c r="H79" i="14"/>
  <c r="H80" i="14"/>
  <c r="F36" i="1"/>
  <c r="P77" i="14"/>
  <c r="H36" i="1" s="1"/>
  <c r="N56" i="14"/>
  <c r="P56" i="14" s="1"/>
  <c r="G57" i="14"/>
  <c r="N57" i="14" s="1"/>
  <c r="P57" i="14" s="1"/>
  <c r="T31" i="14"/>
  <c r="K26" i="33" l="1"/>
  <c r="K26" i="29"/>
  <c r="K26" i="25"/>
  <c r="K26" i="13"/>
  <c r="P28" i="13" s="1"/>
  <c r="K26" i="9"/>
  <c r="K26" i="5"/>
  <c r="K26" i="34"/>
  <c r="K26" i="32"/>
  <c r="K26" i="30"/>
  <c r="K26" i="28"/>
  <c r="K26" i="26"/>
  <c r="K26" i="24"/>
  <c r="K26" i="22"/>
  <c r="K26" i="12"/>
  <c r="K26" i="10"/>
  <c r="K26" i="8"/>
  <c r="K26" i="6"/>
  <c r="K26" i="4"/>
  <c r="K26" i="2"/>
  <c r="P28" i="2" s="1"/>
  <c r="K26" i="31"/>
  <c r="K26" i="27"/>
  <c r="K26" i="23"/>
  <c r="K26" i="11"/>
  <c r="P28" i="11" s="1"/>
  <c r="K26" i="7"/>
  <c r="K26" i="3"/>
  <c r="G63" i="14"/>
  <c r="N63" i="14" s="1"/>
  <c r="P63" i="14" s="1"/>
  <c r="G54" i="14"/>
  <c r="N54" i="14" s="1"/>
  <c r="G55" i="14"/>
  <c r="N55" i="14" s="1"/>
  <c r="P55" i="14" s="1"/>
  <c r="L11" i="34"/>
  <c r="M11" i="34" s="1"/>
  <c r="L11" i="33"/>
  <c r="M11" i="33" s="1"/>
  <c r="N11" i="33" s="1"/>
  <c r="L11" i="6"/>
  <c r="M11" i="6" s="1"/>
  <c r="N11" i="6" s="1"/>
  <c r="L11" i="29"/>
  <c r="M11" i="29" s="1"/>
  <c r="N11" i="29" s="1"/>
  <c r="L11" i="2"/>
  <c r="M11" i="2" s="1"/>
  <c r="N11" i="2" s="1"/>
  <c r="L11" i="4"/>
  <c r="M11" i="4" s="1"/>
  <c r="N11" i="4" s="1"/>
  <c r="L11" i="7"/>
  <c r="M11" i="7" s="1"/>
  <c r="N11" i="7" s="1"/>
  <c r="L11" i="24"/>
  <c r="M11" i="24" s="1"/>
  <c r="N11" i="24" s="1"/>
  <c r="L11" i="12"/>
  <c r="M11" i="12" s="1"/>
  <c r="N11" i="12" s="1"/>
  <c r="L11" i="30"/>
  <c r="M11" i="30" s="1"/>
  <c r="N11" i="30" s="1"/>
  <c r="L11" i="23"/>
  <c r="M11" i="23" s="1"/>
  <c r="N11" i="23" s="1"/>
  <c r="L11" i="13"/>
  <c r="M11" i="13" s="1"/>
  <c r="N11" i="13" s="1"/>
  <c r="L11" i="9"/>
  <c r="M11" i="9" s="1"/>
  <c r="N11" i="9" s="1"/>
  <c r="L11" i="10"/>
  <c r="M11" i="10" s="1"/>
  <c r="N11" i="10" s="1"/>
  <c r="L11" i="32"/>
  <c r="M11" i="32" s="1"/>
  <c r="N11" i="32" s="1"/>
  <c r="L11" i="3"/>
  <c r="M11" i="3" s="1"/>
  <c r="N11" i="3" s="1"/>
  <c r="L11" i="25"/>
  <c r="M11" i="25" s="1"/>
  <c r="N11" i="25" s="1"/>
  <c r="K12" i="26"/>
  <c r="K12" i="11"/>
  <c r="K12" i="31"/>
  <c r="K12" i="8"/>
  <c r="K12" i="9"/>
  <c r="K12" i="32"/>
  <c r="K12" i="6"/>
  <c r="K12" i="13"/>
  <c r="K12" i="22"/>
  <c r="K12" i="2"/>
  <c r="K12" i="10"/>
  <c r="K12" i="12"/>
  <c r="K12" i="34"/>
  <c r="K12" i="23"/>
  <c r="K12" i="28"/>
  <c r="K12" i="30"/>
  <c r="K12" i="4"/>
  <c r="K12" i="5"/>
  <c r="K12" i="24"/>
  <c r="C13" i="17"/>
  <c r="K12" i="7"/>
  <c r="K12" i="33"/>
  <c r="K12" i="29"/>
  <c r="K12" i="25"/>
  <c r="K12" i="27"/>
  <c r="N10" i="28"/>
  <c r="M24" i="7"/>
  <c r="N23" i="2"/>
  <c r="N23" i="13"/>
  <c r="N24" i="5"/>
  <c r="N23" i="4"/>
  <c r="N23" i="34"/>
  <c r="N23" i="30"/>
  <c r="C40" i="17"/>
  <c r="V16" i="17"/>
  <c r="L28" i="35"/>
  <c r="M24" i="10"/>
  <c r="M24" i="6"/>
  <c r="M24" i="33"/>
  <c r="M24" i="9"/>
  <c r="M24" i="22"/>
  <c r="N10" i="10"/>
  <c r="N10" i="3"/>
  <c r="J13" i="17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M24" i="23"/>
  <c r="M24" i="11"/>
  <c r="R39" i="17"/>
  <c r="L12" i="7" s="1"/>
  <c r="L25" i="27"/>
  <c r="L25" i="12"/>
  <c r="M25" i="12" s="1"/>
  <c r="L25" i="31"/>
  <c r="M25" i="31" s="1"/>
  <c r="N25" i="31" s="1"/>
  <c r="L25" i="26"/>
  <c r="M25" i="26" s="1"/>
  <c r="L25" i="6"/>
  <c r="M25" i="6" s="1"/>
  <c r="N25" i="6" s="1"/>
  <c r="L25" i="25"/>
  <c r="M25" i="25" s="1"/>
  <c r="L25" i="29"/>
  <c r="L25" i="33"/>
  <c r="M25" i="33" s="1"/>
  <c r="N25" i="33" s="1"/>
  <c r="L25" i="5"/>
  <c r="M25" i="5" s="1"/>
  <c r="N25" i="5" s="1"/>
  <c r="L25" i="28"/>
  <c r="L25" i="30"/>
  <c r="L25" i="7"/>
  <c r="M25" i="7" s="1"/>
  <c r="N25" i="7" s="1"/>
  <c r="L25" i="11"/>
  <c r="M25" i="11" s="1"/>
  <c r="N25" i="11" s="1"/>
  <c r="L25" i="32"/>
  <c r="M25" i="32" s="1"/>
  <c r="N25" i="32" s="1"/>
  <c r="L25" i="4"/>
  <c r="L25" i="24"/>
  <c r="L25" i="22"/>
  <c r="M25" i="22" s="1"/>
  <c r="N25" i="22" s="1"/>
  <c r="L25" i="8"/>
  <c r="M25" i="8" s="1"/>
  <c r="N25" i="8" s="1"/>
  <c r="L25" i="34"/>
  <c r="L25" i="23"/>
  <c r="M25" i="23" s="1"/>
  <c r="N25" i="23" s="1"/>
  <c r="L25" i="3"/>
  <c r="M25" i="3" s="1"/>
  <c r="N25" i="3" s="1"/>
  <c r="L25" i="2"/>
  <c r="M25" i="2" s="1"/>
  <c r="L25" i="13"/>
  <c r="M25" i="13" s="1"/>
  <c r="N25" i="13" s="1"/>
  <c r="L25" i="10"/>
  <c r="M25" i="10" s="1"/>
  <c r="N25" i="10" s="1"/>
  <c r="L25" i="9"/>
  <c r="M25" i="9" s="1"/>
  <c r="N25" i="9" s="1"/>
  <c r="N23" i="27"/>
  <c r="L11" i="11"/>
  <c r="L11" i="5"/>
  <c r="L11" i="8"/>
  <c r="L11" i="26"/>
  <c r="M11" i="26" s="1"/>
  <c r="L11" i="27"/>
  <c r="L11" i="31"/>
  <c r="L11" i="22"/>
  <c r="M11" i="22" s="1"/>
  <c r="N11" i="22" s="1"/>
  <c r="N23" i="24"/>
  <c r="N11" i="28"/>
  <c r="N23" i="8"/>
  <c r="E79" i="14"/>
  <c r="K79" i="14" s="1"/>
  <c r="B10" i="35"/>
  <c r="E80" i="14"/>
  <c r="D79" i="14"/>
  <c r="D80" i="14"/>
  <c r="B10" i="20"/>
  <c r="I36" i="1"/>
  <c r="J36" i="1" s="1"/>
  <c r="K36" i="1" s="1"/>
  <c r="L12" i="25" l="1"/>
  <c r="M12" i="25" s="1"/>
  <c r="N12" i="25" s="1"/>
  <c r="L26" i="30"/>
  <c r="L26" i="22"/>
  <c r="L26" i="6"/>
  <c r="L26" i="27"/>
  <c r="L26" i="3"/>
  <c r="L26" i="13"/>
  <c r="L26" i="34"/>
  <c r="M26" i="34" s="1"/>
  <c r="N26" i="34" s="1"/>
  <c r="L26" i="2"/>
  <c r="L26" i="29"/>
  <c r="L26" i="5"/>
  <c r="L26" i="28"/>
  <c r="L26" i="12"/>
  <c r="L26" i="4"/>
  <c r="L26" i="23"/>
  <c r="L26" i="33"/>
  <c r="Q28" i="33" s="1"/>
  <c r="L26" i="9"/>
  <c r="L26" i="26"/>
  <c r="L26" i="10"/>
  <c r="Q28" i="10" s="1"/>
  <c r="L26" i="11"/>
  <c r="L26" i="32"/>
  <c r="L26" i="24"/>
  <c r="L26" i="8"/>
  <c r="L26" i="31"/>
  <c r="L26" i="7"/>
  <c r="L26" i="25"/>
  <c r="L12" i="13"/>
  <c r="I63" i="14"/>
  <c r="N71" i="14"/>
  <c r="N74" i="14" s="1"/>
  <c r="D35" i="1" s="1"/>
  <c r="F24" i="20"/>
  <c r="M24" i="20" s="1"/>
  <c r="G72" i="1"/>
  <c r="G70" i="1"/>
  <c r="L12" i="8"/>
  <c r="M12" i="8" s="1"/>
  <c r="L12" i="24"/>
  <c r="M12" i="24" s="1"/>
  <c r="N12" i="24" s="1"/>
  <c r="L12" i="27"/>
  <c r="M12" i="27" s="1"/>
  <c r="N12" i="27" s="1"/>
  <c r="L12" i="12"/>
  <c r="M12" i="12" s="1"/>
  <c r="N12" i="12" s="1"/>
  <c r="N12" i="8"/>
  <c r="M11" i="8"/>
  <c r="N25" i="25"/>
  <c r="N24" i="11"/>
  <c r="P28" i="9"/>
  <c r="P28" i="30"/>
  <c r="P28" i="4"/>
  <c r="M12" i="7"/>
  <c r="N12" i="7" s="1"/>
  <c r="N25" i="12"/>
  <c r="M11" i="31"/>
  <c r="M11" i="5"/>
  <c r="M25" i="27"/>
  <c r="P28" i="10"/>
  <c r="P28" i="25"/>
  <c r="P28" i="8"/>
  <c r="P28" i="5"/>
  <c r="N24" i="9"/>
  <c r="N24" i="6"/>
  <c r="C41" i="17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L12" i="22"/>
  <c r="M12" i="22" s="1"/>
  <c r="N12" i="22" s="1"/>
  <c r="L12" i="23"/>
  <c r="L12" i="6"/>
  <c r="L12" i="28"/>
  <c r="M12" i="28" s="1"/>
  <c r="L12" i="32"/>
  <c r="M12" i="32" s="1"/>
  <c r="N12" i="32" s="1"/>
  <c r="N25" i="2"/>
  <c r="M25" i="28"/>
  <c r="P28" i="28"/>
  <c r="P28" i="32"/>
  <c r="M12" i="13"/>
  <c r="N12" i="13" s="1"/>
  <c r="M11" i="27"/>
  <c r="M11" i="11"/>
  <c r="M25" i="24"/>
  <c r="R40" i="17"/>
  <c r="R41" i="17" s="1"/>
  <c r="R42" i="17" s="1"/>
  <c r="R43" i="17" s="1"/>
  <c r="R44" i="17" s="1"/>
  <c r="R45" i="17" s="1"/>
  <c r="R46" i="17" s="1"/>
  <c r="R47" i="17" s="1"/>
  <c r="R48" i="17" s="1"/>
  <c r="R49" i="17" s="1"/>
  <c r="R50" i="17" s="1"/>
  <c r="R51" i="17" s="1"/>
  <c r="R52" i="17" s="1"/>
  <c r="R53" i="17" s="1"/>
  <c r="R54" i="17" s="1"/>
  <c r="M26" i="2"/>
  <c r="N26" i="2" s="1"/>
  <c r="Q28" i="4"/>
  <c r="M26" i="13"/>
  <c r="N26" i="13" s="1"/>
  <c r="S28" i="13" s="1"/>
  <c r="M26" i="27"/>
  <c r="N26" i="27" s="1"/>
  <c r="Q28" i="24"/>
  <c r="M26" i="7"/>
  <c r="N26" i="7" s="1"/>
  <c r="N24" i="23"/>
  <c r="P28" i="23"/>
  <c r="P28" i="33"/>
  <c r="P28" i="7"/>
  <c r="P28" i="34"/>
  <c r="P28" i="27"/>
  <c r="P28" i="6"/>
  <c r="P28" i="31"/>
  <c r="V17" i="17"/>
  <c r="L29" i="35"/>
  <c r="L12" i="2"/>
  <c r="L12" i="34"/>
  <c r="L12" i="10"/>
  <c r="M12" i="10" s="1"/>
  <c r="L12" i="26"/>
  <c r="M12" i="26" s="1"/>
  <c r="N12" i="26" s="1"/>
  <c r="L12" i="33"/>
  <c r="M12" i="33" s="1"/>
  <c r="N12" i="33" s="1"/>
  <c r="L12" i="9"/>
  <c r="M12" i="9" s="1"/>
  <c r="N12" i="9" s="1"/>
  <c r="L12" i="5"/>
  <c r="M12" i="5" s="1"/>
  <c r="N12" i="5" s="1"/>
  <c r="N24" i="7"/>
  <c r="N11" i="34"/>
  <c r="N11" i="26"/>
  <c r="M25" i="34"/>
  <c r="M25" i="4"/>
  <c r="N25" i="4" s="1"/>
  <c r="M25" i="30"/>
  <c r="M25" i="29"/>
  <c r="P28" i="12"/>
  <c r="P28" i="29"/>
  <c r="P28" i="22"/>
  <c r="P28" i="24"/>
  <c r="P28" i="3"/>
  <c r="P28" i="26"/>
  <c r="N24" i="22"/>
  <c r="N24" i="33"/>
  <c r="N24" i="10"/>
  <c r="L12" i="31"/>
  <c r="M12" i="31" s="1"/>
  <c r="N12" i="31" s="1"/>
  <c r="L12" i="29"/>
  <c r="M12" i="29" s="1"/>
  <c r="N12" i="29" s="1"/>
  <c r="L12" i="30"/>
  <c r="M12" i="30" s="1"/>
  <c r="N12" i="30" s="1"/>
  <c r="L12" i="11"/>
  <c r="M12" i="11" s="1"/>
  <c r="N12" i="11" s="1"/>
  <c r="L12" i="3"/>
  <c r="M12" i="3" s="1"/>
  <c r="N12" i="3" s="1"/>
  <c r="L12" i="4"/>
  <c r="M12" i="4" s="1"/>
  <c r="N12" i="4" s="1"/>
  <c r="N25" i="26"/>
  <c r="K13" i="2"/>
  <c r="K13" i="29"/>
  <c r="K13" i="33"/>
  <c r="K13" i="11"/>
  <c r="K41" i="11" s="1"/>
  <c r="K13" i="9"/>
  <c r="P15" i="9" s="1"/>
  <c r="K13" i="26"/>
  <c r="P15" i="26" s="1"/>
  <c r="K13" i="28"/>
  <c r="K13" i="23"/>
  <c r="P15" i="23" s="1"/>
  <c r="K13" i="10"/>
  <c r="K13" i="31"/>
  <c r="K13" i="4"/>
  <c r="K13" i="3"/>
  <c r="K41" i="3" s="1"/>
  <c r="K13" i="7"/>
  <c r="K41" i="7" s="1"/>
  <c r="K13" i="30"/>
  <c r="K41" i="30" s="1"/>
  <c r="K13" i="27"/>
  <c r="P15" i="27" s="1"/>
  <c r="K13" i="34"/>
  <c r="P15" i="34" s="1"/>
  <c r="C14" i="17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K13" i="8"/>
  <c r="K41" i="8" s="1"/>
  <c r="K13" i="5"/>
  <c r="P15" i="5" s="1"/>
  <c r="K13" i="32"/>
  <c r="P15" i="32" s="1"/>
  <c r="K13" i="24"/>
  <c r="K13" i="13"/>
  <c r="K13" i="25"/>
  <c r="P15" i="25" s="1"/>
  <c r="K13" i="12"/>
  <c r="K13" i="6"/>
  <c r="K41" i="6" s="1"/>
  <c r="K13" i="22"/>
  <c r="K41" i="22" s="1"/>
  <c r="J79" i="14"/>
  <c r="D81" i="14"/>
  <c r="E37" i="1" s="1"/>
  <c r="J80" i="14"/>
  <c r="K80" i="14"/>
  <c r="P54" i="14"/>
  <c r="P71" i="14" s="1"/>
  <c r="P74" i="14" s="1"/>
  <c r="G35" i="1" s="1"/>
  <c r="L13" i="32" l="1"/>
  <c r="L13" i="13"/>
  <c r="M13" i="13" s="1"/>
  <c r="R15" i="13" s="1"/>
  <c r="H24" i="20"/>
  <c r="H34" i="20" s="1"/>
  <c r="B36" i="20" s="1"/>
  <c r="L13" i="25"/>
  <c r="M13" i="25" s="1"/>
  <c r="L13" i="33"/>
  <c r="Q15" i="33" s="1"/>
  <c r="K41" i="26"/>
  <c r="D23" i="1" s="1"/>
  <c r="L13" i="12"/>
  <c r="L41" i="12" s="1"/>
  <c r="L13" i="9"/>
  <c r="M13" i="9" s="1"/>
  <c r="L13" i="29"/>
  <c r="L41" i="29" s="1"/>
  <c r="L13" i="24"/>
  <c r="Q15" i="24" s="1"/>
  <c r="L13" i="4"/>
  <c r="M13" i="4" s="1"/>
  <c r="R15" i="4" s="1"/>
  <c r="S28" i="2"/>
  <c r="L13" i="11"/>
  <c r="M13" i="11" s="1"/>
  <c r="R15" i="11" s="1"/>
  <c r="L13" i="5"/>
  <c r="M13" i="5" s="1"/>
  <c r="N13" i="5" s="1"/>
  <c r="L13" i="30"/>
  <c r="M13" i="30" s="1"/>
  <c r="R15" i="30" s="1"/>
  <c r="L13" i="27"/>
  <c r="Q15" i="27" s="1"/>
  <c r="L13" i="23"/>
  <c r="Q15" i="23" s="1"/>
  <c r="L13" i="22"/>
  <c r="Q15" i="22" s="1"/>
  <c r="L13" i="6"/>
  <c r="M13" i="6" s="1"/>
  <c r="N13" i="6" s="1"/>
  <c r="L13" i="10"/>
  <c r="M13" i="10" s="1"/>
  <c r="N13" i="10" s="1"/>
  <c r="L13" i="8"/>
  <c r="M13" i="8" s="1"/>
  <c r="R15" i="8" s="1"/>
  <c r="L13" i="28"/>
  <c r="Q15" i="28" s="1"/>
  <c r="L13" i="3"/>
  <c r="M13" i="3" s="1"/>
  <c r="R15" i="3" s="1"/>
  <c r="Q15" i="13"/>
  <c r="L41" i="13"/>
  <c r="E18" i="1" s="1"/>
  <c r="R28" i="7"/>
  <c r="K41" i="23"/>
  <c r="D20" i="1" s="1"/>
  <c r="K42" i="8"/>
  <c r="G13" i="1" s="1"/>
  <c r="D13" i="1"/>
  <c r="K42" i="6"/>
  <c r="G11" i="1" s="1"/>
  <c r="D11" i="1"/>
  <c r="K42" i="7"/>
  <c r="G12" i="1" s="1"/>
  <c r="D12" i="1"/>
  <c r="P15" i="10"/>
  <c r="P15" i="2"/>
  <c r="K41" i="2"/>
  <c r="N25" i="34"/>
  <c r="S28" i="34" s="1"/>
  <c r="R28" i="34"/>
  <c r="M26" i="22"/>
  <c r="Q28" i="22"/>
  <c r="M26" i="29"/>
  <c r="N26" i="29" s="1"/>
  <c r="N25" i="28"/>
  <c r="M13" i="32"/>
  <c r="Q15" i="32"/>
  <c r="K41" i="9"/>
  <c r="N11" i="8"/>
  <c r="K42" i="30"/>
  <c r="G27" i="1" s="1"/>
  <c r="D27" i="1"/>
  <c r="P15" i="12"/>
  <c r="K41" i="12"/>
  <c r="P15" i="3"/>
  <c r="P15" i="11"/>
  <c r="K42" i="22"/>
  <c r="G19" i="1" s="1"/>
  <c r="D19" i="1"/>
  <c r="Q28" i="29"/>
  <c r="S28" i="7"/>
  <c r="M12" i="34"/>
  <c r="N12" i="34" s="1"/>
  <c r="K41" i="27"/>
  <c r="M26" i="9"/>
  <c r="Q28" i="9"/>
  <c r="M26" i="23"/>
  <c r="Q28" i="23"/>
  <c r="M26" i="30"/>
  <c r="N26" i="30" s="1"/>
  <c r="M26" i="33"/>
  <c r="M26" i="10"/>
  <c r="N11" i="11"/>
  <c r="Q28" i="2"/>
  <c r="Q28" i="7"/>
  <c r="N12" i="28"/>
  <c r="Q28" i="27"/>
  <c r="N11" i="31"/>
  <c r="R28" i="2"/>
  <c r="D16" i="1"/>
  <c r="K42" i="11"/>
  <c r="G16" i="1" s="1"/>
  <c r="P15" i="6"/>
  <c r="P15" i="24"/>
  <c r="K41" i="24"/>
  <c r="K42" i="3"/>
  <c r="G8" i="1" s="1"/>
  <c r="D8" i="1"/>
  <c r="N25" i="30"/>
  <c r="N12" i="10"/>
  <c r="V18" i="17"/>
  <c r="V19" i="17" s="1"/>
  <c r="L30" i="35"/>
  <c r="M26" i="3"/>
  <c r="Q28" i="3"/>
  <c r="M26" i="26"/>
  <c r="Q28" i="26"/>
  <c r="P15" i="4"/>
  <c r="P15" i="28"/>
  <c r="P15" i="33"/>
  <c r="N25" i="29"/>
  <c r="P15" i="7"/>
  <c r="M12" i="2"/>
  <c r="M26" i="24"/>
  <c r="N26" i="24" s="1"/>
  <c r="M26" i="31"/>
  <c r="Q28" i="31"/>
  <c r="M26" i="12"/>
  <c r="Q28" i="12"/>
  <c r="M26" i="32"/>
  <c r="L41" i="32"/>
  <c r="Q28" i="32"/>
  <c r="M26" i="8"/>
  <c r="Q28" i="8"/>
  <c r="N25" i="24"/>
  <c r="K41" i="28"/>
  <c r="M12" i="6"/>
  <c r="N12" i="6" s="1"/>
  <c r="K41" i="5"/>
  <c r="K41" i="10"/>
  <c r="N25" i="27"/>
  <c r="S28" i="27" s="1"/>
  <c r="R28" i="27"/>
  <c r="N11" i="5"/>
  <c r="P15" i="22"/>
  <c r="P15" i="13"/>
  <c r="K41" i="13"/>
  <c r="P15" i="8"/>
  <c r="P15" i="30"/>
  <c r="K41" i="31"/>
  <c r="P15" i="31"/>
  <c r="P15" i="29"/>
  <c r="K41" i="29"/>
  <c r="Q28" i="30"/>
  <c r="Q28" i="34"/>
  <c r="K41" i="34"/>
  <c r="K41" i="33"/>
  <c r="M26" i="25"/>
  <c r="Q28" i="25"/>
  <c r="M26" i="6"/>
  <c r="Q28" i="6"/>
  <c r="M26" i="11"/>
  <c r="Q28" i="11"/>
  <c r="M26" i="28"/>
  <c r="N26" i="28" s="1"/>
  <c r="M26" i="5"/>
  <c r="Q28" i="5"/>
  <c r="M26" i="4"/>
  <c r="N11" i="27"/>
  <c r="K41" i="32"/>
  <c r="Q28" i="28"/>
  <c r="Q28" i="13"/>
  <c r="M12" i="23"/>
  <c r="N12" i="23" s="1"/>
  <c r="L13" i="34"/>
  <c r="L13" i="7"/>
  <c r="L13" i="31"/>
  <c r="M13" i="31" s="1"/>
  <c r="R15" i="31" s="1"/>
  <c r="L13" i="26"/>
  <c r="L41" i="26" s="1"/>
  <c r="L13" i="2"/>
  <c r="K41" i="25"/>
  <c r="K41" i="4"/>
  <c r="R28" i="13"/>
  <c r="M34" i="20"/>
  <c r="B37" i="20" s="1"/>
  <c r="N13" i="13" l="1"/>
  <c r="S15" i="13" s="1"/>
  <c r="N13" i="11"/>
  <c r="S15" i="11" s="1"/>
  <c r="M13" i="23"/>
  <c r="M13" i="29"/>
  <c r="R15" i="29" s="1"/>
  <c r="N13" i="8"/>
  <c r="S15" i="8" s="1"/>
  <c r="L41" i="8"/>
  <c r="M41" i="8" s="1"/>
  <c r="L41" i="33"/>
  <c r="E30" i="1" s="1"/>
  <c r="L41" i="11"/>
  <c r="K57" i="17" s="1"/>
  <c r="M13" i="24"/>
  <c r="R15" i="24" s="1"/>
  <c r="L41" i="24"/>
  <c r="M41" i="24" s="1"/>
  <c r="M13" i="27"/>
  <c r="N13" i="27" s="1"/>
  <c r="S15" i="27" s="1"/>
  <c r="L41" i="10"/>
  <c r="M41" i="10" s="1"/>
  <c r="Q15" i="9"/>
  <c r="L41" i="25"/>
  <c r="M41" i="25" s="1"/>
  <c r="N41" i="25" s="1"/>
  <c r="N42" i="25" s="1"/>
  <c r="N43" i="25" s="1"/>
  <c r="I22" i="1" s="1"/>
  <c r="J22" i="1" s="1"/>
  <c r="K22" i="1" s="1"/>
  <c r="Q15" i="25"/>
  <c r="L41" i="27"/>
  <c r="S57" i="17" s="1"/>
  <c r="M13" i="28"/>
  <c r="R15" i="28" s="1"/>
  <c r="Q15" i="12"/>
  <c r="L41" i="30"/>
  <c r="V57" i="17" s="1"/>
  <c r="L41" i="4"/>
  <c r="M41" i="4" s="1"/>
  <c r="L41" i="28"/>
  <c r="T57" i="17" s="1"/>
  <c r="Q15" i="4"/>
  <c r="M13" i="12"/>
  <c r="R15" i="12" s="1"/>
  <c r="K42" i="26"/>
  <c r="G23" i="1" s="1"/>
  <c r="I34" i="20"/>
  <c r="Q15" i="8"/>
  <c r="L41" i="23"/>
  <c r="E20" i="1" s="1"/>
  <c r="M13" i="33"/>
  <c r="R15" i="33" s="1"/>
  <c r="Q15" i="29"/>
  <c r="L41" i="9"/>
  <c r="E14" i="1" s="1"/>
  <c r="L41" i="6"/>
  <c r="E11" i="1" s="1"/>
  <c r="Q15" i="30"/>
  <c r="Q15" i="6"/>
  <c r="L41" i="3"/>
  <c r="M41" i="3" s="1"/>
  <c r="L41" i="5"/>
  <c r="M41" i="5" s="1"/>
  <c r="N41" i="5" s="1"/>
  <c r="N42" i="5" s="1"/>
  <c r="N43" i="5" s="1"/>
  <c r="I10" i="1" s="1"/>
  <c r="J10" i="1" s="1"/>
  <c r="K10" i="1" s="1"/>
  <c r="M13" i="22"/>
  <c r="R15" i="22" s="1"/>
  <c r="R15" i="5"/>
  <c r="Q15" i="5"/>
  <c r="L41" i="22"/>
  <c r="N57" i="17" s="1"/>
  <c r="Q15" i="11"/>
  <c r="Q15" i="10"/>
  <c r="M57" i="17"/>
  <c r="Q15" i="3"/>
  <c r="S15" i="10"/>
  <c r="S28" i="29"/>
  <c r="M41" i="13"/>
  <c r="F18" i="1" s="1"/>
  <c r="R15" i="10"/>
  <c r="N13" i="30"/>
  <c r="S15" i="30" s="1"/>
  <c r="M41" i="27"/>
  <c r="N41" i="27" s="1"/>
  <c r="N42" i="27" s="1"/>
  <c r="N43" i="27" s="1"/>
  <c r="I24" i="1" s="1"/>
  <c r="J24" i="1" s="1"/>
  <c r="K24" i="1" s="1"/>
  <c r="S15" i="5"/>
  <c r="K42" i="23"/>
  <c r="G20" i="1" s="1"/>
  <c r="R15" i="6"/>
  <c r="N13" i="4"/>
  <c r="S15" i="4" s="1"/>
  <c r="R28" i="30"/>
  <c r="S28" i="24"/>
  <c r="V20" i="17"/>
  <c r="L32" i="35"/>
  <c r="N13" i="9"/>
  <c r="S15" i="9" s="1"/>
  <c r="R15" i="9"/>
  <c r="N13" i="25"/>
  <c r="S15" i="25" s="1"/>
  <c r="R15" i="25"/>
  <c r="K42" i="25"/>
  <c r="G22" i="1" s="1"/>
  <c r="D22" i="1"/>
  <c r="M13" i="7"/>
  <c r="Q15" i="7"/>
  <c r="L41" i="7"/>
  <c r="N26" i="6"/>
  <c r="S28" i="6" s="1"/>
  <c r="R28" i="6"/>
  <c r="D30" i="1"/>
  <c r="K42" i="33"/>
  <c r="G30" i="1" s="1"/>
  <c r="K42" i="31"/>
  <c r="G28" i="1" s="1"/>
  <c r="D28" i="1"/>
  <c r="K42" i="5"/>
  <c r="G10" i="1" s="1"/>
  <c r="D10" i="1"/>
  <c r="R28" i="32"/>
  <c r="N26" i="32"/>
  <c r="S28" i="32" s="1"/>
  <c r="D21" i="1"/>
  <c r="K42" i="24"/>
  <c r="G21" i="1" s="1"/>
  <c r="S15" i="6"/>
  <c r="J57" i="17"/>
  <c r="N26" i="23"/>
  <c r="S28" i="23" s="1"/>
  <c r="R28" i="23"/>
  <c r="K42" i="27"/>
  <c r="G24" i="1" s="1"/>
  <c r="D24" i="1"/>
  <c r="N13" i="3"/>
  <c r="S15" i="3" s="1"/>
  <c r="K42" i="9"/>
  <c r="G14" i="1" s="1"/>
  <c r="D14" i="1"/>
  <c r="S28" i="28"/>
  <c r="Q15" i="31"/>
  <c r="N26" i="4"/>
  <c r="S28" i="4" s="1"/>
  <c r="R28" i="4"/>
  <c r="N26" i="25"/>
  <c r="S28" i="25" s="1"/>
  <c r="R28" i="25"/>
  <c r="D15" i="1"/>
  <c r="K42" i="10"/>
  <c r="G15" i="1" s="1"/>
  <c r="M41" i="32"/>
  <c r="E29" i="1"/>
  <c r="X57" i="17"/>
  <c r="R28" i="12"/>
  <c r="N26" i="12"/>
  <c r="S28" i="12" s="1"/>
  <c r="N12" i="2"/>
  <c r="R28" i="33"/>
  <c r="N26" i="33"/>
  <c r="S28" i="33" s="1"/>
  <c r="R28" i="9"/>
  <c r="N26" i="9"/>
  <c r="S28" i="9" s="1"/>
  <c r="N13" i="32"/>
  <c r="S15" i="32" s="1"/>
  <c r="R15" i="32"/>
  <c r="M13" i="2"/>
  <c r="N13" i="2" s="1"/>
  <c r="Q15" i="2"/>
  <c r="M13" i="34"/>
  <c r="Q15" i="34"/>
  <c r="M41" i="11"/>
  <c r="N26" i="5"/>
  <c r="S28" i="5" s="1"/>
  <c r="R28" i="5"/>
  <c r="N26" i="11"/>
  <c r="S28" i="11" s="1"/>
  <c r="R28" i="11"/>
  <c r="D31" i="1"/>
  <c r="K42" i="34"/>
  <c r="G31" i="1" s="1"/>
  <c r="D26" i="1"/>
  <c r="K42" i="29"/>
  <c r="G26" i="1" s="1"/>
  <c r="N13" i="31"/>
  <c r="S15" i="31" s="1"/>
  <c r="R28" i="8"/>
  <c r="N26" i="8"/>
  <c r="S28" i="8" s="1"/>
  <c r="M41" i="12"/>
  <c r="N41" i="12" s="1"/>
  <c r="N42" i="12" s="1"/>
  <c r="N43" i="12" s="1"/>
  <c r="I17" i="1" s="1"/>
  <c r="J17" i="1" s="1"/>
  <c r="K17" i="1" s="1"/>
  <c r="E17" i="1"/>
  <c r="L57" i="17"/>
  <c r="R28" i="31"/>
  <c r="N26" i="31"/>
  <c r="S28" i="31" s="1"/>
  <c r="E23" i="1"/>
  <c r="R57" i="17"/>
  <c r="M41" i="26"/>
  <c r="R28" i="3"/>
  <c r="N26" i="3"/>
  <c r="S28" i="3" s="1"/>
  <c r="N13" i="23"/>
  <c r="S15" i="23" s="1"/>
  <c r="R15" i="23"/>
  <c r="R28" i="10"/>
  <c r="N26" i="10"/>
  <c r="S28" i="10" s="1"/>
  <c r="L41" i="34"/>
  <c r="K42" i="12"/>
  <c r="G17" i="1" s="1"/>
  <c r="D17" i="1"/>
  <c r="L41" i="31"/>
  <c r="R28" i="28"/>
  <c r="K42" i="2"/>
  <c r="G7" i="1" s="1"/>
  <c r="D7" i="1"/>
  <c r="K42" i="4"/>
  <c r="G9" i="1" s="1"/>
  <c r="D9" i="1"/>
  <c r="M13" i="26"/>
  <c r="Q15" i="26"/>
  <c r="D29" i="1"/>
  <c r="K42" i="32"/>
  <c r="G29" i="1" s="1"/>
  <c r="K42" i="13"/>
  <c r="G18" i="1" s="1"/>
  <c r="D18" i="1"/>
  <c r="D25" i="1"/>
  <c r="K42" i="28"/>
  <c r="G25" i="1" s="1"/>
  <c r="R28" i="24"/>
  <c r="L41" i="2"/>
  <c r="R28" i="29"/>
  <c r="N26" i="26"/>
  <c r="S28" i="26" s="1"/>
  <c r="R28" i="26"/>
  <c r="S28" i="30"/>
  <c r="M41" i="29"/>
  <c r="E26" i="1"/>
  <c r="U57" i="17"/>
  <c r="N26" i="22"/>
  <c r="S28" i="22" s="1"/>
  <c r="R28" i="22"/>
  <c r="I35" i="1"/>
  <c r="N13" i="22" l="1"/>
  <c r="S15" i="22" s="1"/>
  <c r="N13" i="29"/>
  <c r="S15" i="29" s="1"/>
  <c r="C37" i="20"/>
  <c r="M41" i="28"/>
  <c r="N41" i="28" s="1"/>
  <c r="N42" i="28" s="1"/>
  <c r="N43" i="28" s="1"/>
  <c r="I25" i="1" s="1"/>
  <c r="J25" i="1" s="1"/>
  <c r="K25" i="1" s="1"/>
  <c r="P57" i="17"/>
  <c r="H57" i="17"/>
  <c r="E21" i="1"/>
  <c r="E13" i="1"/>
  <c r="M41" i="33"/>
  <c r="F30" i="1" s="1"/>
  <c r="N13" i="24"/>
  <c r="S15" i="24" s="1"/>
  <c r="E16" i="1"/>
  <c r="Y57" i="17"/>
  <c r="E19" i="1"/>
  <c r="M41" i="30"/>
  <c r="F27" i="1" s="1"/>
  <c r="E15" i="1"/>
  <c r="E24" i="1"/>
  <c r="E25" i="1"/>
  <c r="I57" i="17"/>
  <c r="R15" i="27"/>
  <c r="E22" i="1"/>
  <c r="Q57" i="17"/>
  <c r="E57" i="17"/>
  <c r="D57" i="17"/>
  <c r="N13" i="28"/>
  <c r="S15" i="28" s="1"/>
  <c r="M41" i="9"/>
  <c r="F14" i="1" s="1"/>
  <c r="E9" i="1"/>
  <c r="E27" i="1"/>
  <c r="N13" i="12"/>
  <c r="S15" i="12" s="1"/>
  <c r="F57" i="17"/>
  <c r="O57" i="17"/>
  <c r="M41" i="23"/>
  <c r="F20" i="1" s="1"/>
  <c r="M41" i="6"/>
  <c r="F11" i="1" s="1"/>
  <c r="E10" i="1"/>
  <c r="C57" i="17"/>
  <c r="M41" i="22"/>
  <c r="F19" i="1" s="1"/>
  <c r="N13" i="33"/>
  <c r="S15" i="33" s="1"/>
  <c r="N41" i="13"/>
  <c r="N42" i="13" s="1"/>
  <c r="N43" i="13" s="1"/>
  <c r="I18" i="1" s="1"/>
  <c r="J18" i="1" s="1"/>
  <c r="K18" i="1" s="1"/>
  <c r="E8" i="1"/>
  <c r="F24" i="1"/>
  <c r="M42" i="27"/>
  <c r="H24" i="1" s="1"/>
  <c r="M42" i="13"/>
  <c r="H18" i="1" s="1"/>
  <c r="R15" i="2"/>
  <c r="D34" i="1"/>
  <c r="F48" i="20" s="1"/>
  <c r="F26" i="1"/>
  <c r="M42" i="29"/>
  <c r="H26" i="1" s="1"/>
  <c r="F21" i="1"/>
  <c r="M42" i="24"/>
  <c r="H21" i="1" s="1"/>
  <c r="N13" i="34"/>
  <c r="S15" i="34" s="1"/>
  <c r="R15" i="34"/>
  <c r="E12" i="1"/>
  <c r="M41" i="7"/>
  <c r="G57" i="17"/>
  <c r="M42" i="8"/>
  <c r="H13" i="1" s="1"/>
  <c r="F13" i="1"/>
  <c r="N41" i="8"/>
  <c r="N42" i="8" s="1"/>
  <c r="N43" i="8" s="1"/>
  <c r="I13" i="1" s="1"/>
  <c r="J13" i="1" s="1"/>
  <c r="K13" i="1" s="1"/>
  <c r="G34" i="1"/>
  <c r="F15" i="1"/>
  <c r="M42" i="10"/>
  <c r="H15" i="1" s="1"/>
  <c r="N41" i="24"/>
  <c r="N42" i="24" s="1"/>
  <c r="N43" i="24" s="1"/>
  <c r="I21" i="1" s="1"/>
  <c r="J21" i="1" s="1"/>
  <c r="K21" i="1" s="1"/>
  <c r="V21" i="17"/>
  <c r="V22" i="17" s="1"/>
  <c r="V23" i="17" s="1"/>
  <c r="V24" i="17" s="1"/>
  <c r="V25" i="17" s="1"/>
  <c r="V26" i="17" s="1"/>
  <c r="V27" i="17" s="1"/>
  <c r="L33" i="35"/>
  <c r="L34" i="35" s="1"/>
  <c r="F33" i="1" s="1"/>
  <c r="H33" i="1" s="1"/>
  <c r="E28" i="1"/>
  <c r="W57" i="17"/>
  <c r="M41" i="31"/>
  <c r="Z57" i="17"/>
  <c r="M41" i="34"/>
  <c r="E31" i="1"/>
  <c r="F16" i="1"/>
  <c r="M42" i="11"/>
  <c r="H16" i="1" s="1"/>
  <c r="N41" i="11"/>
  <c r="N42" i="11" s="1"/>
  <c r="N43" i="11" s="1"/>
  <c r="I16" i="1" s="1"/>
  <c r="J16" i="1" s="1"/>
  <c r="K16" i="1" s="1"/>
  <c r="S15" i="2"/>
  <c r="M42" i="3"/>
  <c r="H8" i="1" s="1"/>
  <c r="F8" i="1"/>
  <c r="N41" i="3"/>
  <c r="N42" i="3" s="1"/>
  <c r="N43" i="3" s="1"/>
  <c r="I8" i="1" s="1"/>
  <c r="J8" i="1" s="1"/>
  <c r="K8" i="1" s="1"/>
  <c r="N41" i="32"/>
  <c r="N42" i="32" s="1"/>
  <c r="N43" i="32" s="1"/>
  <c r="I29" i="1" s="1"/>
  <c r="J29" i="1" s="1"/>
  <c r="K29" i="1" s="1"/>
  <c r="F29" i="1"/>
  <c r="M42" i="32"/>
  <c r="H29" i="1" s="1"/>
  <c r="R15" i="7"/>
  <c r="N13" i="7"/>
  <c r="S15" i="7" s="1"/>
  <c r="M42" i="28"/>
  <c r="H25" i="1" s="1"/>
  <c r="N41" i="4"/>
  <c r="N42" i="4" s="1"/>
  <c r="N43" i="4" s="1"/>
  <c r="I9" i="1" s="1"/>
  <c r="J9" i="1" s="1"/>
  <c r="K9" i="1" s="1"/>
  <c r="M42" i="4"/>
  <c r="H9" i="1" s="1"/>
  <c r="F9" i="1"/>
  <c r="N13" i="26"/>
  <c r="S15" i="26" s="1"/>
  <c r="R15" i="26"/>
  <c r="M42" i="26"/>
  <c r="H23" i="1" s="1"/>
  <c r="F23" i="1"/>
  <c r="N41" i="26"/>
  <c r="N42" i="26" s="1"/>
  <c r="N43" i="26" s="1"/>
  <c r="I23" i="1" s="1"/>
  <c r="J23" i="1" s="1"/>
  <c r="K23" i="1" s="1"/>
  <c r="F17" i="1"/>
  <c r="M42" i="12"/>
  <c r="H17" i="1" s="1"/>
  <c r="F10" i="1"/>
  <c r="M42" i="5"/>
  <c r="H10" i="1" s="1"/>
  <c r="B57" i="17"/>
  <c r="E7" i="1"/>
  <c r="M41" i="2"/>
  <c r="F22" i="1"/>
  <c r="M42" i="25"/>
  <c r="H22" i="1" s="1"/>
  <c r="N41" i="29"/>
  <c r="N42" i="29" s="1"/>
  <c r="N43" i="29" s="1"/>
  <c r="I26" i="1" s="1"/>
  <c r="J26" i="1" s="1"/>
  <c r="K26" i="1" s="1"/>
  <c r="N41" i="10"/>
  <c r="N42" i="10" s="1"/>
  <c r="N43" i="10" s="1"/>
  <c r="I15" i="1" s="1"/>
  <c r="J15" i="1" s="1"/>
  <c r="K15" i="1" s="1"/>
  <c r="J35" i="1"/>
  <c r="K35" i="1" s="1"/>
  <c r="N41" i="33" l="1"/>
  <c r="N42" i="33" s="1"/>
  <c r="N43" i="33" s="1"/>
  <c r="I30" i="1" s="1"/>
  <c r="J30" i="1" s="1"/>
  <c r="K30" i="1" s="1"/>
  <c r="I42" i="1"/>
  <c r="J42" i="1" s="1"/>
  <c r="K42" i="1" s="1"/>
  <c r="F25" i="1"/>
  <c r="I67" i="1"/>
  <c r="H67" i="1"/>
  <c r="I68" i="1"/>
  <c r="H68" i="1"/>
  <c r="G51" i="1"/>
  <c r="G68" i="1"/>
  <c r="F49" i="20"/>
  <c r="B50" i="20" s="1"/>
  <c r="F50" i="20" s="1"/>
  <c r="E48" i="20"/>
  <c r="H48" i="20" s="1"/>
  <c r="G67" i="1"/>
  <c r="M42" i="33"/>
  <c r="H30" i="1" s="1"/>
  <c r="N41" i="30"/>
  <c r="N42" i="30" s="1"/>
  <c r="N43" i="30" s="1"/>
  <c r="I27" i="1" s="1"/>
  <c r="J27" i="1" s="1"/>
  <c r="K27" i="1" s="1"/>
  <c r="M42" i="30"/>
  <c r="H27" i="1" s="1"/>
  <c r="N41" i="23"/>
  <c r="N42" i="23" s="1"/>
  <c r="N43" i="23" s="1"/>
  <c r="I20" i="1" s="1"/>
  <c r="J20" i="1" s="1"/>
  <c r="K20" i="1" s="1"/>
  <c r="N41" i="9"/>
  <c r="N42" i="9" s="1"/>
  <c r="N43" i="9" s="1"/>
  <c r="I14" i="1" s="1"/>
  <c r="J14" i="1" s="1"/>
  <c r="K14" i="1" s="1"/>
  <c r="M42" i="9"/>
  <c r="H14" i="1" s="1"/>
  <c r="AA57" i="17"/>
  <c r="M42" i="23"/>
  <c r="H20" i="1" s="1"/>
  <c r="N41" i="6"/>
  <c r="N42" i="6" s="1"/>
  <c r="N43" i="6" s="1"/>
  <c r="I11" i="1" s="1"/>
  <c r="J11" i="1" s="1"/>
  <c r="K11" i="1" s="1"/>
  <c r="M42" i="6"/>
  <c r="H11" i="1" s="1"/>
  <c r="N41" i="22"/>
  <c r="N42" i="22" s="1"/>
  <c r="N43" i="22" s="1"/>
  <c r="I19" i="1" s="1"/>
  <c r="J19" i="1" s="1"/>
  <c r="K19" i="1" s="1"/>
  <c r="M42" i="22"/>
  <c r="H19" i="1" s="1"/>
  <c r="F28" i="1"/>
  <c r="M42" i="31"/>
  <c r="H28" i="1" s="1"/>
  <c r="N41" i="31"/>
  <c r="N42" i="31" s="1"/>
  <c r="N43" i="31" s="1"/>
  <c r="I28" i="1" s="1"/>
  <c r="J28" i="1" s="1"/>
  <c r="K28" i="1" s="1"/>
  <c r="F7" i="1"/>
  <c r="M42" i="2"/>
  <c r="H7" i="1" s="1"/>
  <c r="N41" i="2"/>
  <c r="N42" i="2" s="1"/>
  <c r="N43" i="2" s="1"/>
  <c r="I7" i="1" s="1"/>
  <c r="M42" i="34"/>
  <c r="H31" i="1" s="1"/>
  <c r="F31" i="1"/>
  <c r="N41" i="34"/>
  <c r="N42" i="34" s="1"/>
  <c r="N43" i="34" s="1"/>
  <c r="I31" i="1" s="1"/>
  <c r="J31" i="1" s="1"/>
  <c r="K31" i="1" s="1"/>
  <c r="I33" i="1"/>
  <c r="E34" i="1"/>
  <c r="M42" i="7"/>
  <c r="H12" i="1" s="1"/>
  <c r="F12" i="1"/>
  <c r="N41" i="7"/>
  <c r="N42" i="7" s="1"/>
  <c r="N43" i="7" s="1"/>
  <c r="I12" i="1" s="1"/>
  <c r="J12" i="1" s="1"/>
  <c r="K12" i="1" s="1"/>
  <c r="E51" i="1" l="1"/>
  <c r="C51" i="20"/>
  <c r="F34" i="1"/>
  <c r="J33" i="1"/>
  <c r="K33" i="1" s="1"/>
  <c r="H34" i="1"/>
  <c r="J7" i="1"/>
  <c r="K7" i="1" s="1"/>
  <c r="I34" i="1"/>
  <c r="E44" i="20" l="1"/>
  <c r="E54" i="1"/>
  <c r="AE61" i="17" s="1"/>
  <c r="AE63" i="17" s="1"/>
  <c r="C52" i="20"/>
  <c r="D52" i="20" s="1"/>
  <c r="D51" i="20"/>
  <c r="E51" i="20" s="1"/>
  <c r="H51" i="20" s="1"/>
  <c r="K34" i="1"/>
  <c r="J34" i="1"/>
  <c r="I43" i="1" l="1"/>
  <c r="J43" i="1" s="1"/>
  <c r="K43" i="1" s="1"/>
  <c r="F54" i="1"/>
  <c r="E52" i="20"/>
  <c r="F52" i="20"/>
  <c r="B46" i="20"/>
  <c r="AE62" i="17" l="1"/>
  <c r="E55" i="1" l="1"/>
  <c r="F55" i="1" s="1"/>
  <c r="AA59" i="17"/>
  <c r="H52" i="20"/>
  <c r="H53" i="20" s="1"/>
  <c r="D38" i="1" s="1"/>
  <c r="D51" i="1" s="1"/>
  <c r="B57" i="20" l="1"/>
  <c r="C57" i="20" s="1"/>
  <c r="G55" i="1"/>
  <c r="AA60" i="17"/>
  <c r="I38" i="1"/>
  <c r="AB61" i="17" l="1"/>
  <c r="AA64" i="17" s="1"/>
  <c r="D57" i="20"/>
  <c r="AB62" i="17"/>
  <c r="J38" i="1"/>
  <c r="K38" i="1" s="1"/>
  <c r="E57" i="20" l="1"/>
  <c r="F57" i="20" s="1"/>
  <c r="H57" i="20" s="1"/>
  <c r="F41" i="1" s="1"/>
  <c r="I41" i="1" s="1"/>
  <c r="I80" i="14"/>
  <c r="N80" i="14" s="1"/>
  <c r="P80" i="14" s="1"/>
  <c r="I79" i="14"/>
  <c r="N79" i="14" s="1"/>
  <c r="P79" i="14" l="1"/>
  <c r="P81" i="14" s="1"/>
  <c r="H37" i="1" s="1"/>
  <c r="N81" i="14"/>
  <c r="F37" i="1" s="1"/>
  <c r="F51" i="1" s="1"/>
  <c r="J41" i="1"/>
  <c r="I37" i="1" l="1"/>
  <c r="H51" i="1"/>
  <c r="K41" i="1"/>
  <c r="J37" i="1" l="1"/>
  <c r="I51" i="1"/>
  <c r="K37" i="1" l="1"/>
  <c r="K51" i="1" s="1"/>
  <c r="J51" i="1"/>
  <c r="G69" i="1" l="1"/>
  <c r="I69" i="1"/>
  <c r="H69" i="1"/>
</calcChain>
</file>

<file path=xl/sharedStrings.xml><?xml version="1.0" encoding="utf-8"?>
<sst xmlns="http://schemas.openxmlformats.org/spreadsheetml/2006/main" count="1882" uniqueCount="573">
  <si>
    <t>SCANNER FÜR SEPARATOR                                   </t>
  </si>
  <si>
    <t>HANDSCANNER FÜR WARE                                    </t>
  </si>
  <si>
    <t>SCANNER FÜR WARE AUTOMATISCH                            </t>
  </si>
  <si>
    <t>HK mech</t>
  </si>
  <si>
    <t>HK el</t>
  </si>
  <si>
    <t>HK M&amp;E</t>
  </si>
  <si>
    <t>Scan Sep</t>
  </si>
  <si>
    <t>Scan Ware</t>
  </si>
  <si>
    <t>Scan Hand</t>
  </si>
  <si>
    <t>m Kreisel</t>
  </si>
  <si>
    <t>GESAMT</t>
  </si>
  <si>
    <t>Scanner</t>
  </si>
  <si>
    <t>VK</t>
  </si>
  <si>
    <t>Bezeichng</t>
  </si>
  <si>
    <t>Bauteil</t>
  </si>
  <si>
    <t>Kreisel</t>
  </si>
  <si>
    <t>ETF</t>
  </si>
  <si>
    <t>Summe</t>
  </si>
  <si>
    <t xml:space="preserve"> Übersicht Anlagen-Bereiche</t>
  </si>
  <si>
    <t>Projekt</t>
  </si>
  <si>
    <t>Summen</t>
  </si>
  <si>
    <t>Deckblatt Budget-Kalkulation</t>
  </si>
  <si>
    <t>Pin       [1=ja]</t>
  </si>
  <si>
    <t>Anzahl Sep</t>
  </si>
  <si>
    <t>Stück</t>
  </si>
  <si>
    <t>Länge [m]</t>
  </si>
  <si>
    <t>Anzahl Weichen</t>
  </si>
  <si>
    <t>Mont-Satz</t>
  </si>
  <si>
    <t>Kpl-Preis incl Montage</t>
  </si>
  <si>
    <t>Preis Montage</t>
  </si>
  <si>
    <t>Gefälle - Strecken</t>
  </si>
  <si>
    <t>Stauprofil kpl mit Ein-Ausfahrt</t>
  </si>
  <si>
    <t>Komplett - Modul</t>
  </si>
  <si>
    <t>Datum</t>
  </si>
  <si>
    <t>EK - VK - Faktor</t>
  </si>
  <si>
    <t>Eckrad</t>
  </si>
  <si>
    <t>Steuerung</t>
  </si>
  <si>
    <t>Schätzpreise</t>
  </si>
  <si>
    <t>Nr:</t>
  </si>
  <si>
    <t>Bereich</t>
  </si>
  <si>
    <t>Herstellkosten</t>
  </si>
  <si>
    <t>VK 1</t>
  </si>
  <si>
    <t>Montage   Stunden</t>
  </si>
  <si>
    <t>Montage   Kosten</t>
  </si>
  <si>
    <t>VK 2</t>
  </si>
  <si>
    <t>Aufschlag</t>
  </si>
  <si>
    <t>Angebots-      Preis</t>
  </si>
  <si>
    <t>qm</t>
  </si>
  <si>
    <t>Gesamt</t>
  </si>
  <si>
    <t>Faktor</t>
  </si>
  <si>
    <t>Abhängungen SSG pauschal</t>
  </si>
  <si>
    <t>Grobschätzg</t>
  </si>
  <si>
    <t>Bühne</t>
  </si>
  <si>
    <t>Träger</t>
  </si>
  <si>
    <t>EG</t>
  </si>
  <si>
    <t>OG</t>
  </si>
  <si>
    <t>Aus Projekt Fehrer mit Profielnorm</t>
  </si>
  <si>
    <t>&gt;</t>
  </si>
  <si>
    <t>kpl montiert</t>
  </si>
  <si>
    <t>EK - VK</t>
  </si>
  <si>
    <t>SSG</t>
  </si>
  <si>
    <t>Summe Mat.</t>
  </si>
  <si>
    <t>montiert</t>
  </si>
  <si>
    <t>incl</t>
  </si>
  <si>
    <t>Anzahl Rampen</t>
  </si>
  <si>
    <t xml:space="preserve">Kreisel kpl </t>
  </si>
  <si>
    <t>Materialpreis        M&amp;E</t>
  </si>
  <si>
    <t>Mont [h]   M&amp;E</t>
  </si>
  <si>
    <t xml:space="preserve">So-Förderer </t>
  </si>
  <si>
    <t>Arb-Platz</t>
  </si>
  <si>
    <t>Umbügeln</t>
  </si>
  <si>
    <t>BT / MT - Entladung</t>
  </si>
  <si>
    <t>BT - Beladung</t>
  </si>
  <si>
    <t>MT - Beladung</t>
  </si>
  <si>
    <t>Projekt:</t>
  </si>
  <si>
    <t>Nr.:</t>
  </si>
  <si>
    <t>Art-Nr</t>
  </si>
  <si>
    <t>Bezeichnung</t>
  </si>
  <si>
    <t>Mont - mech</t>
  </si>
  <si>
    <t>Mont - el</t>
  </si>
  <si>
    <t>0_B3000020</t>
  </si>
  <si>
    <t>ANTRIEBSSTATION 300-ILS(mit Motor und Weiche 300)</t>
  </si>
  <si>
    <t>0_B3000040</t>
  </si>
  <si>
    <t>SPANNSTATION 300-ILS(mit Weiche 300)</t>
  </si>
  <si>
    <t>0_B3000050</t>
  </si>
  <si>
    <t>UMLENKSTATION 800-ILS(mit Weiche 800)</t>
  </si>
  <si>
    <t>0_B3000100</t>
  </si>
  <si>
    <t>0_B3000101</t>
  </si>
  <si>
    <t>ANBAUGRUPPEN FÜR LP MIT STANDARD-BAND-ILS</t>
  </si>
  <si>
    <t>0_B3000110</t>
  </si>
  <si>
    <t>0_B3000111</t>
  </si>
  <si>
    <t>0_B3000120</t>
  </si>
  <si>
    <t>0_B3000150</t>
  </si>
  <si>
    <t>0_B3000160</t>
  </si>
  <si>
    <t>0_B3000200</t>
  </si>
  <si>
    <t>0_B3000210</t>
  </si>
  <si>
    <t>0_B3000310</t>
  </si>
  <si>
    <t>0_B3000320</t>
  </si>
  <si>
    <t>0_B3000330</t>
  </si>
  <si>
    <t>AS-ELEMENT 30° MIT SMC-PNEUMATIK F. SF-ILS</t>
  </si>
  <si>
    <t>0_B3000340</t>
  </si>
  <si>
    <t>ES-ELEMENT 30° F. SF-ILS</t>
  </si>
  <si>
    <t>0_B3000350</t>
  </si>
  <si>
    <t>ETF ZWISCHENSTÜCK L=1000-ILS</t>
  </si>
  <si>
    <t>0_B3000360</t>
  </si>
  <si>
    <t>Mont. M&amp;E</t>
  </si>
  <si>
    <t>Montage Kosten</t>
  </si>
  <si>
    <t xml:space="preserve">Material Kosten </t>
  </si>
  <si>
    <t>Zuführung:    Klinkenf</t>
  </si>
  <si>
    <t>E</t>
  </si>
  <si>
    <t>A</t>
  </si>
  <si>
    <t>Antr - Stat</t>
  </si>
  <si>
    <t>Spannstat</t>
  </si>
  <si>
    <t>Rampe</t>
  </si>
  <si>
    <t>Weiche</t>
  </si>
  <si>
    <t>Sep LP</t>
  </si>
  <si>
    <t>Sep SP</t>
  </si>
  <si>
    <t>BT/MT-Entl</t>
  </si>
  <si>
    <t>BT-Bel</t>
  </si>
  <si>
    <t>MT.Bel</t>
  </si>
  <si>
    <t>Sonst-Förd</t>
  </si>
  <si>
    <t>Inkr-Geb</t>
  </si>
  <si>
    <t>E / A pro Bauteil</t>
  </si>
  <si>
    <t>Anzahl Eingänge</t>
  </si>
  <si>
    <t>Anzahl Ausgänge</t>
  </si>
  <si>
    <t>Summe Bauteile</t>
  </si>
  <si>
    <t>1. Ein / Ausgänge</t>
  </si>
  <si>
    <t>2. Kabel und Kanäle</t>
  </si>
  <si>
    <t>Länge LP</t>
  </si>
  <si>
    <t>Kpl mit M&amp;E</t>
  </si>
  <si>
    <t>Mat-Preis        M&amp;E</t>
  </si>
  <si>
    <t>Kpl-Gruppe</t>
  </si>
  <si>
    <t>Antr + Spann</t>
  </si>
  <si>
    <t>Aufpr. Pin</t>
  </si>
  <si>
    <t>AE + EE kpl</t>
  </si>
  <si>
    <t>m SP kpl</t>
  </si>
  <si>
    <t>BT-MT-Entl</t>
  </si>
  <si>
    <t>MT-Bel</t>
  </si>
  <si>
    <t>Mat M&amp;E</t>
  </si>
  <si>
    <t>Montage</t>
  </si>
  <si>
    <t>Zusatzaufwand für Meter Pinband</t>
  </si>
  <si>
    <t>SP</t>
  </si>
  <si>
    <t>EE</t>
  </si>
  <si>
    <t>BT-MT-Entladg</t>
  </si>
  <si>
    <t>BT-Beladg</t>
  </si>
  <si>
    <t>0_B3000321</t>
  </si>
  <si>
    <t>MT-Beladg</t>
  </si>
  <si>
    <t>Zus 30°</t>
  </si>
  <si>
    <t>Aufschlag AE/EE 30°</t>
  </si>
  <si>
    <t>AE</t>
  </si>
  <si>
    <t>Material    Kosten</t>
  </si>
  <si>
    <t>Aufschl VK2</t>
  </si>
  <si>
    <t>Momentane Basis für Kalkulation Stahlbau 2-etagig</t>
  </si>
  <si>
    <t>Material SSG</t>
  </si>
  <si>
    <t>Zeilen in grauer Schrift sind nicht verlinkt</t>
  </si>
  <si>
    <t>( nur Platzhalter )</t>
  </si>
  <si>
    <t>Incr-Geb</t>
  </si>
  <si>
    <t xml:space="preserve">incl.Res </t>
  </si>
  <si>
    <t>3. Baugruppen</t>
  </si>
  <si>
    <t>CPU</t>
  </si>
  <si>
    <t>1 St/Sorter</t>
  </si>
  <si>
    <t>u nach Aufbau</t>
  </si>
  <si>
    <t>Preis</t>
  </si>
  <si>
    <t>St</t>
  </si>
  <si>
    <t>PC</t>
  </si>
  <si>
    <t>1 St/CPU</t>
  </si>
  <si>
    <t>Server</t>
  </si>
  <si>
    <t>1 St/Anlage</t>
  </si>
  <si>
    <t>HK</t>
  </si>
  <si>
    <t>Aufpr Pin</t>
  </si>
  <si>
    <t>ASI Ansch</t>
  </si>
  <si>
    <t>Pritsche</t>
  </si>
  <si>
    <t>Kabel</t>
  </si>
  <si>
    <t>Zellen</t>
  </si>
  <si>
    <t>Schaltschr</t>
  </si>
  <si>
    <t>U-Vert</t>
  </si>
  <si>
    <t>Module</t>
  </si>
  <si>
    <t>Not-Aus</t>
  </si>
  <si>
    <t>B-Halt</t>
  </si>
  <si>
    <t>Bed-Tabl</t>
  </si>
  <si>
    <t>Aufpr 400V</t>
  </si>
  <si>
    <t>&gt;50kVA pro Motor</t>
  </si>
  <si>
    <t>Ethernet</t>
  </si>
  <si>
    <t>Switch</t>
  </si>
  <si>
    <t>Ethernet : 6</t>
  </si>
  <si>
    <t>Profibus</t>
  </si>
  <si>
    <t>4xCPU&amp;Scanner&amp;Asi</t>
  </si>
  <si>
    <t>2xCPU&amp;Asi</t>
  </si>
  <si>
    <t>4. Dienstleistung LL</t>
  </si>
  <si>
    <t>E-Werkst</t>
  </si>
  <si>
    <t>Proj</t>
  </si>
  <si>
    <t>SPS</t>
  </si>
  <si>
    <t>E-Pläne</t>
  </si>
  <si>
    <t>Stdn</t>
  </si>
  <si>
    <t>Layout</t>
  </si>
  <si>
    <t>Bestell</t>
  </si>
  <si>
    <t>PH</t>
  </si>
  <si>
    <t>PC-Prog</t>
  </si>
  <si>
    <t>SPS-Prog</t>
  </si>
  <si>
    <t>5. Inb-Nahme</t>
  </si>
  <si>
    <t>Teilbereich Bühne</t>
  </si>
  <si>
    <t>2-etagig</t>
  </si>
  <si>
    <t>Taschen</t>
  </si>
  <si>
    <t>Betriebsmittel</t>
  </si>
  <si>
    <t>Stdn/CPU</t>
  </si>
  <si>
    <t>0_C3000110</t>
  </si>
  <si>
    <t xml:space="preserve">Inkrementalgeber </t>
  </si>
  <si>
    <t>Förderer</t>
  </si>
  <si>
    <t>Klinkenf</t>
  </si>
  <si>
    <t>Antr</t>
  </si>
  <si>
    <t>m Förd</t>
  </si>
  <si>
    <t>E-Mat</t>
  </si>
  <si>
    <t>Sonder</t>
  </si>
  <si>
    <t>Mont An</t>
  </si>
  <si>
    <t>Mont m</t>
  </si>
  <si>
    <t>H:\Daten\Angebote\</t>
  </si>
  <si>
    <t>Summe E</t>
  </si>
  <si>
    <t>Summe A</t>
  </si>
  <si>
    <t>Summen E/A</t>
  </si>
  <si>
    <t>Pin</t>
  </si>
  <si>
    <t>Ramp</t>
  </si>
  <si>
    <t>Sep</t>
  </si>
  <si>
    <t>Scan</t>
  </si>
  <si>
    <t>Montage SSG-Anteil [h]</t>
  </si>
  <si>
    <t>Zusatzaufwand f. Taschentransport</t>
  </si>
  <si>
    <t>Meter LP</t>
  </si>
  <si>
    <t>Meter SP</t>
  </si>
  <si>
    <t>incl. Scanner Ware          ohne Handscanner</t>
  </si>
  <si>
    <t>BT</t>
  </si>
  <si>
    <t>MT</t>
  </si>
  <si>
    <t>Tasche</t>
  </si>
  <si>
    <t xml:space="preserve">Zwischensumme </t>
  </si>
  <si>
    <t>Separator</t>
  </si>
  <si>
    <t>Aus - Elem</t>
  </si>
  <si>
    <t>Scan fest</t>
  </si>
  <si>
    <t>Movi-Switch / -Mot</t>
  </si>
  <si>
    <t>Ventil-Spule</t>
  </si>
  <si>
    <t>Eingang</t>
  </si>
  <si>
    <t>Ausgang</t>
  </si>
  <si>
    <t>Handscanner</t>
  </si>
  <si>
    <t>Drucker</t>
  </si>
  <si>
    <t>Kreisel/Antr</t>
  </si>
  <si>
    <t>Etagenf.</t>
  </si>
  <si>
    <t>Pinsensor</t>
  </si>
  <si>
    <t>Pinband</t>
  </si>
  <si>
    <t>Band</t>
  </si>
  <si>
    <t>Bänder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</si>
  <si>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</si>
  <si>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</si>
  <si>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</si>
  <si>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</si>
  <si>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</si>
  <si>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</si>
  <si>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</si>
  <si>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</si>
  <si>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</si>
  <si>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</si>
  <si>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</si>
  <si>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</si>
  <si>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Stahlband</t>
  </si>
  <si>
    <t>M25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</si>
  <si>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</si>
  <si>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</si>
  <si>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</si>
  <si>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</si>
  <si>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</si>
  <si>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</si>
  <si>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</si>
  <si>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</si>
  <si>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</si>
  <si>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</si>
  <si>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</si>
  <si>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</si>
  <si>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11.11.1111</t>
  </si>
  <si>
    <t>Länge LP x 0,9</t>
  </si>
  <si>
    <t>1 St/100E oder A</t>
  </si>
  <si>
    <t>CPUx50</t>
  </si>
  <si>
    <t>Verpackung /Transport</t>
  </si>
  <si>
    <t>Baustellen-Einrichtug</t>
  </si>
  <si>
    <t>Stapler / Bühnen</t>
  </si>
  <si>
    <t>Antr.- Spannstation</t>
  </si>
  <si>
    <t>Pal-Länge</t>
  </si>
  <si>
    <t>St/Palette</t>
  </si>
  <si>
    <t>Rahmen</t>
  </si>
  <si>
    <t>Räder</t>
  </si>
  <si>
    <t>Motoren</t>
  </si>
  <si>
    <t>LP</t>
  </si>
  <si>
    <t>Pal/Stapel</t>
  </si>
  <si>
    <t>Bögen</t>
  </si>
  <si>
    <t>Profil</t>
  </si>
  <si>
    <t>Länge LKW</t>
  </si>
  <si>
    <t>Anteil LKW</t>
  </si>
  <si>
    <t>Pal ges.</t>
  </si>
  <si>
    <t>DRT-Gerüst 1-etagig</t>
  </si>
  <si>
    <t>auf Bodensäulen</t>
  </si>
  <si>
    <t>Verpackung</t>
  </si>
  <si>
    <t>Paletten</t>
  </si>
  <si>
    <t>Kantholz</t>
  </si>
  <si>
    <t>Zeit</t>
  </si>
  <si>
    <t>Palette</t>
  </si>
  <si>
    <t>Preise</t>
  </si>
  <si>
    <t>Versand</t>
  </si>
  <si>
    <t>Anzahl LKW</t>
  </si>
  <si>
    <t>Entfernung zur Baust.</t>
  </si>
  <si>
    <t>Transportkosten</t>
  </si>
  <si>
    <t>Kosten</t>
  </si>
  <si>
    <t>Verpackungskosten</t>
  </si>
  <si>
    <t>per UPS</t>
  </si>
  <si>
    <t>Stapler</t>
  </si>
  <si>
    <t>Gerät</t>
  </si>
  <si>
    <t>Wochen</t>
  </si>
  <si>
    <t>Baustellenausrüstung</t>
  </si>
  <si>
    <t>Mont-Stdn / Woche</t>
  </si>
  <si>
    <t>Verp.</t>
  </si>
  <si>
    <t>Arbeitszeit / Woche</t>
  </si>
  <si>
    <t>Entfernung Baustelle 1-fach</t>
  </si>
  <si>
    <t>Stapler &gt; x Tage</t>
  </si>
  <si>
    <t>An-/Abfahrt</t>
  </si>
  <si>
    <t>Projektierung</t>
  </si>
  <si>
    <t>Stdn-Satz</t>
  </si>
  <si>
    <t>Stunden:</t>
  </si>
  <si>
    <t>RK Proj.</t>
  </si>
  <si>
    <t>Faktor Tage</t>
  </si>
  <si>
    <t>Stdn/Tag</t>
  </si>
  <si>
    <t>Projektierung (P-u. PH-Stdn u. RK)</t>
  </si>
  <si>
    <t>Gerüst</t>
  </si>
  <si>
    <t>Bühnen &gt; x Tage</t>
  </si>
  <si>
    <t>Reisekosten Montage</t>
  </si>
  <si>
    <t>38.1</t>
  </si>
  <si>
    <t>38.2</t>
  </si>
  <si>
    <t>38.3</t>
  </si>
  <si>
    <t>RK Montage</t>
  </si>
  <si>
    <t>Auslöse</t>
  </si>
  <si>
    <t>Hotel</t>
  </si>
  <si>
    <t>Reise</t>
  </si>
  <si>
    <t>Mont-Stdn</t>
  </si>
  <si>
    <t>Reisen</t>
  </si>
  <si>
    <t>Reisezeit</t>
  </si>
  <si>
    <t>km-Kosten</t>
  </si>
  <si>
    <t>Tage vor Ort</t>
  </si>
  <si>
    <t>Reisezeit und -Weg + Auslöse + Hotel</t>
  </si>
  <si>
    <t>Personal SSG</t>
  </si>
  <si>
    <t>Fremd</t>
  </si>
  <si>
    <t>Anbauteile / So-Förd.</t>
  </si>
  <si>
    <t>Sonstige</t>
  </si>
  <si>
    <t>SSG-Person</t>
  </si>
  <si>
    <t>RK SSG</t>
  </si>
  <si>
    <t>Reserve</t>
  </si>
  <si>
    <t>Modul-Nr.</t>
  </si>
  <si>
    <t>höherer Wert (f.ASI)</t>
  </si>
  <si>
    <t>Taschen ja / nein</t>
  </si>
  <si>
    <t>Gesamt-Mont-Stdn</t>
  </si>
  <si>
    <t>Personal</t>
  </si>
  <si>
    <t>Montage SSG-Anteil [ges-h]</t>
  </si>
  <si>
    <t>Gerüst SSG pauschal</t>
  </si>
  <si>
    <t>Montage  [ges-h]</t>
  </si>
  <si>
    <t>Gerüst-Montage (+SSG-Anteil Stahlbau)</t>
  </si>
  <si>
    <t>Mont-Stdn gesamt</t>
  </si>
  <si>
    <t>Stdn / Teil</t>
  </si>
  <si>
    <t>Stdn ges.</t>
  </si>
  <si>
    <t>4000 St/h</t>
  </si>
  <si>
    <t>1800 St/h</t>
  </si>
  <si>
    <t>600 St/h</t>
  </si>
  <si>
    <t>Mech. u. Elektr.</t>
  </si>
  <si>
    <t>SPS-Programm</t>
  </si>
  <si>
    <t>PC-Programm</t>
  </si>
  <si>
    <t>Stdn vor Ort</t>
  </si>
  <si>
    <t>ges-Stdn</t>
  </si>
  <si>
    <t>Fahrtk.</t>
  </si>
  <si>
    <t>ges-Tage</t>
  </si>
  <si>
    <t>29.1</t>
  </si>
  <si>
    <t>IBS u. Anlaufbetreuung: Stdn. mech. u. el.</t>
  </si>
  <si>
    <t>IBS u. Anlaufbetreuung Programm kpl.</t>
  </si>
  <si>
    <t>E&amp;Ax</t>
  </si>
  <si>
    <t>Länge LP+EA</t>
  </si>
  <si>
    <t>Stahlbau incl. SSG-Material</t>
  </si>
  <si>
    <t>0_C3000170                              </t>
  </si>
  <si>
    <t>0_C3000171                              </t>
  </si>
  <si>
    <t>0_C3000175                              </t>
  </si>
  <si>
    <t>ASI-Ansch.x0,5</t>
  </si>
  <si>
    <t>eingeben (z.B. Anzahl Arbeitspl.)</t>
  </si>
  <si>
    <t xml:space="preserve">SS&amp;UVx50h </t>
  </si>
  <si>
    <t>E&amp;A : 8x1</t>
  </si>
  <si>
    <t>E&amp;A : 12</t>
  </si>
  <si>
    <t>E&amp;A : 20</t>
  </si>
  <si>
    <t>CPUx80&amp;(E&amp;A)/10&amp;Inkr.&amp;Scanner</t>
  </si>
  <si>
    <t>Mannwochen bei 40h/Wo</t>
  </si>
  <si>
    <t>0_B3000011</t>
  </si>
  <si>
    <t>ANTRIEBSSTATION 800-ILS-2.0 (mit Motor)</t>
  </si>
  <si>
    <t>0_B3000031</t>
  </si>
  <si>
    <t>SPANNSTATION 800-ILS 2.0</t>
  </si>
  <si>
    <t>auf neuen Alu-Preis angepasst (nur Profile)</t>
  </si>
  <si>
    <t>1 Meter Kreisel LP 2.0</t>
  </si>
  <si>
    <t>829 434 305</t>
  </si>
  <si>
    <t>Zappler manuell zugerechnet</t>
  </si>
  <si>
    <t xml:space="preserve">Rampe li. u. re. incl. LPhc u. Zappler             </t>
  </si>
  <si>
    <t>0_B3000113</t>
  </si>
  <si>
    <t>Weiche - ILS 2.0</t>
  </si>
  <si>
    <t>SP - ILS 2.0</t>
  </si>
  <si>
    <r>
      <t>Sep LP - ILS 2.0</t>
    </r>
    <r>
      <rPr>
        <b/>
        <sz val="8"/>
        <rFont val="Arial"/>
        <family val="2"/>
      </rPr>
      <t xml:space="preserve"> (SMC)</t>
    </r>
  </si>
  <si>
    <r>
      <t xml:space="preserve">Sep SP-HD - ILS 2.0 </t>
    </r>
    <r>
      <rPr>
        <b/>
        <sz val="8"/>
        <rFont val="Arial"/>
        <family val="2"/>
      </rPr>
      <t>(SMC)</t>
    </r>
  </si>
  <si>
    <r>
      <t xml:space="preserve">AE -  ILS 2.0 </t>
    </r>
    <r>
      <rPr>
        <b/>
        <sz val="8"/>
        <rFont val="Arial"/>
        <family val="2"/>
      </rPr>
      <t xml:space="preserve"> (SMC)</t>
    </r>
  </si>
  <si>
    <t>ETF 6m Zw-Träger - ILS 2.0</t>
  </si>
  <si>
    <t>HK Stand März 2015 + 25% Aufpreis für Alu-Profile</t>
  </si>
  <si>
    <t>sonstige Alu-Teile nicht berechenbar</t>
  </si>
  <si>
    <t>Bauteil-Nr</t>
  </si>
  <si>
    <t>829 514 073</t>
  </si>
  <si>
    <t>Führg. an AE</t>
  </si>
  <si>
    <t>829 514 071</t>
  </si>
  <si>
    <t>Halter Gegenl. an AE</t>
  </si>
  <si>
    <t>931 011 103</t>
  </si>
  <si>
    <t>Alu-Winkel 40x20</t>
  </si>
  <si>
    <t>829 514 070</t>
  </si>
  <si>
    <t>Halter Gegenl. an EE</t>
  </si>
  <si>
    <t>931 601 003</t>
  </si>
  <si>
    <t>Alu-4-kt. 20x20</t>
  </si>
  <si>
    <t>829 534 007</t>
  </si>
  <si>
    <t>Andr-Rollenl. Sep LP</t>
  </si>
  <si>
    <t>829 534 008</t>
  </si>
  <si>
    <t>Abh-Leiste  vor Sep LP</t>
  </si>
  <si>
    <t>829 514 072</t>
  </si>
  <si>
    <t>Zwangsführg.an Sep SP</t>
  </si>
  <si>
    <t>829 514 068</t>
  </si>
  <si>
    <t>Verb. Schrägkr. Mitte</t>
  </si>
  <si>
    <t>829 514 069</t>
  </si>
  <si>
    <t>Verb. Schrägkr. Ende</t>
  </si>
  <si>
    <t>829 514 061</t>
  </si>
  <si>
    <t>829 416 031</t>
  </si>
  <si>
    <t>Stauprofil</t>
  </si>
  <si>
    <t>LP oben abschneiden</t>
  </si>
  <si>
    <t>829 514 075</t>
  </si>
  <si>
    <t>Abstands-Band Nop</t>
  </si>
  <si>
    <t>Aufpreis Band noppen</t>
  </si>
  <si>
    <t>Kr-Länge</t>
  </si>
  <si>
    <t>Menge</t>
  </si>
  <si>
    <t>Schrägkreisel mit Staustrecke auf Rückseite</t>
  </si>
  <si>
    <t>Länge</t>
  </si>
  <si>
    <t>Ges-Preis</t>
  </si>
  <si>
    <t>Ges-Mont</t>
  </si>
  <si>
    <t>Mont-Kosten</t>
  </si>
  <si>
    <t>AP Mod 1</t>
  </si>
  <si>
    <t>AP Mod 2/3</t>
  </si>
  <si>
    <t>Be-/ Entladestationen für Taschen</t>
  </si>
  <si>
    <t>Modell 1</t>
  </si>
  <si>
    <t>Typ</t>
  </si>
  <si>
    <t>Funktion</t>
  </si>
  <si>
    <t>TB öffnen / schließen</t>
  </si>
  <si>
    <t>Modell 2</t>
  </si>
  <si>
    <t>TB öffnen / drehen hin &amp; rück / schließen</t>
  </si>
  <si>
    <t>Modell 3</t>
  </si>
  <si>
    <t>TB öffnen / kippen hin &amp; rück / schließen</t>
  </si>
  <si>
    <t>Mont-Preis</t>
  </si>
  <si>
    <t>St-Preis-m</t>
  </si>
  <si>
    <t>St-Preis-e</t>
  </si>
  <si>
    <t>Aufpr. Sep an Be-/ Entl.</t>
  </si>
  <si>
    <t>Pneumatik</t>
  </si>
  <si>
    <t>Wartgs-Einh. AS-2 plus Fittings u. Schlauch</t>
  </si>
  <si>
    <t>26.1</t>
  </si>
  <si>
    <t>26.2</t>
  </si>
  <si>
    <t>Arbeitsplätze</t>
  </si>
  <si>
    <t>Pneum</t>
  </si>
  <si>
    <t>SSG-Mont.</t>
  </si>
  <si>
    <t>Helfer</t>
  </si>
  <si>
    <t>Personal vom Kunden</t>
  </si>
  <si>
    <t>incl. Arb-PL. u. T-Zusatz u. BM einh.</t>
  </si>
  <si>
    <t>Projekt-Gesamt-Montage:</t>
  </si>
  <si>
    <t>Mann-h</t>
  </si>
  <si>
    <t>Mann-Wo</t>
  </si>
  <si>
    <t>Ges-Dauer</t>
  </si>
  <si>
    <t>Reisen SSG-Monteure</t>
  </si>
  <si>
    <t>Tabellen:</t>
  </si>
  <si>
    <t>Zeiten angepasst</t>
  </si>
  <si>
    <t>Tabelle</t>
  </si>
  <si>
    <t>Übersicht:</t>
  </si>
  <si>
    <t>Montagedauer</t>
  </si>
  <si>
    <t>Zeiten SSG-Personal bei Helfern v. Kd.</t>
  </si>
  <si>
    <t>SSG-Stdn</t>
  </si>
  <si>
    <t>Helfer-Stdn</t>
  </si>
  <si>
    <t>Ges.Stdn</t>
  </si>
  <si>
    <t>Statistik</t>
  </si>
  <si>
    <t>nur Material ohne BM u. Steuerung</t>
  </si>
  <si>
    <t>BM-Anteil</t>
  </si>
  <si>
    <t>Anlage kpl. ohne BM</t>
  </si>
  <si>
    <t>Material incl. Steuerung ohne BM</t>
  </si>
  <si>
    <t>Korrektur</t>
  </si>
  <si>
    <t>Anlagen - Daten</t>
  </si>
  <si>
    <t>Gesamt-Meter Fahrschiene</t>
  </si>
  <si>
    <t>DB  ( Faktor )</t>
  </si>
  <si>
    <t>Bandlängen korrigiert</t>
  </si>
  <si>
    <t>Schrägkr.:</t>
  </si>
  <si>
    <t>Transp. u. Verpackg. ja / nein  -C 37-</t>
  </si>
  <si>
    <t>SSG-Mann auf Baustelle</t>
  </si>
  <si>
    <t>"Übersicht": alle Kpl-Summen</t>
  </si>
  <si>
    <t>MINDESTENS 1 MANN EINTRAGEN !</t>
  </si>
  <si>
    <t>HK Mat.</t>
  </si>
  <si>
    <t>Steuerung:</t>
  </si>
  <si>
    <t>Plausibilität eingefügt</t>
  </si>
  <si>
    <t>Stundensätze</t>
  </si>
  <si>
    <t>auf Baust.</t>
  </si>
  <si>
    <t>Automatisierung (Steuerung/Pneumatik)</t>
  </si>
  <si>
    <t>1 = "ein"</t>
  </si>
  <si>
    <t>0 = "aus"</t>
  </si>
  <si>
    <t>Steuerungspreis ein-ausblenden</t>
  </si>
  <si>
    <t>Momentane Basis für Kalkulation Stahlbau 3-etagig</t>
  </si>
  <si>
    <t>aus Angebot Uwe Hahn</t>
  </si>
  <si>
    <t>2 x Bühne vollflächig</t>
  </si>
  <si>
    <t>Stahl</t>
  </si>
  <si>
    <t>Treppen</t>
  </si>
  <si>
    <t>60x60m</t>
  </si>
  <si>
    <t>Raster 6m</t>
  </si>
  <si>
    <t>Preis / qm Grundfläche</t>
  </si>
  <si>
    <t>Grundfläche</t>
  </si>
  <si>
    <t>Preis / qm Gesamtfläche</t>
  </si>
  <si>
    <t>Grobschätzung für Kalkulation Stahlbau 2 - etagig</t>
  </si>
  <si>
    <t>Material Fremd + SSG kpl.</t>
  </si>
  <si>
    <t>Entfernung Baust. &gt; 0</t>
  </si>
  <si>
    <t>Ebenen</t>
  </si>
  <si>
    <t>Fläche: qm Bühne / Gerüst</t>
  </si>
  <si>
    <t>Preis pro</t>
  </si>
  <si>
    <t xml:space="preserve"> m Schiene</t>
  </si>
  <si>
    <t>qm Fläche</t>
  </si>
  <si>
    <t>qm gesamt</t>
  </si>
  <si>
    <t>DRT</t>
  </si>
  <si>
    <t>Stahl 2-etag</t>
  </si>
  <si>
    <t>Grob Stahl 2-etag</t>
  </si>
  <si>
    <t>Stahl 3-etag</t>
  </si>
  <si>
    <t>qm gesamt (Summe Ebenen)</t>
  </si>
  <si>
    <t>Montagesatz</t>
  </si>
  <si>
    <t>ASI Module</t>
  </si>
  <si>
    <t>1 St/4E oder A</t>
  </si>
  <si>
    <t>Reisezeit h&amp;r</t>
  </si>
  <si>
    <t>Zeiten und Kosten pro Mann</t>
  </si>
  <si>
    <t>Tage</t>
  </si>
  <si>
    <t xml:space="preserve"> -H 57-</t>
  </si>
  <si>
    <t>SSG:  Tage vor Ort</t>
  </si>
  <si>
    <t>aus Übersicht</t>
  </si>
  <si>
    <t>Ges-Stdn - Helferstdn</t>
  </si>
  <si>
    <t>reduziert - x 0,75</t>
  </si>
  <si>
    <t>Anzahl Reisen x (Reisestdn x Mont-Satz + Reisetage x Ausl. + Km-Kosten)</t>
  </si>
  <si>
    <t>Faktor Stahl</t>
  </si>
  <si>
    <t>Faktor SSG</t>
  </si>
  <si>
    <t>Fläche</t>
  </si>
  <si>
    <t>2 x Wartungsbühne</t>
  </si>
  <si>
    <t>Transport lt. Ang.</t>
  </si>
  <si>
    <t>4 St/Modul</t>
  </si>
  <si>
    <t>Preis qm nur Träger</t>
  </si>
  <si>
    <t>Preis qm mit Bühne</t>
  </si>
  <si>
    <t>Tasche Pelikan</t>
  </si>
  <si>
    <t>WMS</t>
  </si>
  <si>
    <t>AP und Sort</t>
  </si>
  <si>
    <t>Verteilung AP</t>
  </si>
  <si>
    <t>AP</t>
  </si>
  <si>
    <t>Andienung AP</t>
  </si>
  <si>
    <t>Leerkreisel</t>
  </si>
  <si>
    <t>Andienung Sort</t>
  </si>
  <si>
    <t>Umschleusung Sort</t>
  </si>
  <si>
    <t>Vorpuffer Verteilung</t>
  </si>
  <si>
    <t>Vorpuffer</t>
  </si>
  <si>
    <t>Sortstufe 1</t>
  </si>
  <si>
    <t>Sort</t>
  </si>
  <si>
    <t>Sortstufe 2</t>
  </si>
  <si>
    <t>Verteilung in die Halle</t>
  </si>
  <si>
    <t xml:space="preserve">Verbindung </t>
  </si>
  <si>
    <t>Puffer</t>
  </si>
  <si>
    <t>Faurecia Entwurf 1</t>
  </si>
  <si>
    <t>Zuführung Richtung Puffer</t>
  </si>
  <si>
    <t>Verbindung</t>
  </si>
  <si>
    <t>Einschleusung Puffer</t>
  </si>
  <si>
    <t>Umschleusung</t>
  </si>
  <si>
    <t>Abzug Puffer</t>
  </si>
  <si>
    <t>Abzug gesamt</t>
  </si>
  <si>
    <t>Steuerung (1.497 E/A x 210,-€/270,-€)</t>
  </si>
  <si>
    <t>Klinkenförderer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</si>
</sst>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164" formatCode="0.0"/>
    <numFmt numFmtId="165" formatCode="0&quot; % &quot;"/>
    <numFmt numFmtId="166" formatCode="#"/>
    <numFmt numFmtId="167" formatCode="[=0]&quot;&quot;;General"/>
    <numFmt numFmtId="168" formatCode="[=0]#;###,##0.00"/>
    <numFmt numFmtId="169" formatCode="[=0]#;###,##0"/>
    <numFmt numFmtId="170" formatCode="0&quot; qm &quot;"/>
    <numFmt numFmtId="171" formatCode="0\ &quot;qm&quot;"/>
    <numFmt numFmtId="172" formatCode="0\ &quot;h&quot;"/>
    <numFmt numFmtId="173" formatCode="0.0\ &quot;h&quot;"/>
    <numFmt numFmtId="174" formatCode="0\ &quot;BT&quot;"/>
    <numFmt numFmtId="175" formatCode="0\ &quot;MT&quot;"/>
    <numFmt numFmtId="176" formatCode="0\ &quot;Taschen&quot;"/>
    <numFmt numFmtId="177" formatCode="#,##0.00\ &quot;€&quot;"/>
    <numFmt numFmtId="178" formatCode="0\ &quot;m&quot;"/>
    <numFmt numFmtId="179" formatCode="0\ &quot;St&quot;"/>
    <numFmt numFmtId="180" formatCode="0.0\ &quot;m&quot;"/>
    <numFmt numFmtId="181" formatCode="0\ &quot;€/qm&quot;"/>
    <numFmt numFmtId="182" formatCode="0.0\ &quot;€/min&quot;"/>
    <numFmt numFmtId="183" formatCode="0.0\ &quot;€/m&quot;"/>
    <numFmt numFmtId="184" formatCode="0.0\ &quot;€/St&quot;"/>
    <numFmt numFmtId="185" formatCode="#,##0.0\ &quot;€&quot;"/>
    <numFmt numFmtId="186" formatCode="0\ &quot;min&quot;"/>
    <numFmt numFmtId="187" formatCode="0\ &quot;km&quot;"/>
    <numFmt numFmtId="188" formatCode="#,##0\ &quot;€&quot;"/>
    <numFmt numFmtId="189" formatCode="0\ &quot;€/Sendg&quot;"/>
    <numFmt numFmtId="190" formatCode="0\ &quot;€/Wo&quot;"/>
    <numFmt numFmtId="191" formatCode="0\ &quot;Stapler&quot;"/>
    <numFmt numFmtId="192" formatCode="0\ &quot;Tage&quot;"/>
    <numFmt numFmtId="193" formatCode="0\ &quot;h-PH&quot;"/>
    <numFmt numFmtId="194" formatCode="0\ &quot;Bühnen&quot;"/>
    <numFmt numFmtId="195" formatCode="0.00\ &quot;h&quot;"/>
    <numFmt numFmtId="196" formatCode="0\ &quot;Tg&quot;"/>
    <numFmt numFmtId="197" formatCode="0\ &quot;Mann&quot;"/>
    <numFmt numFmtId="198" formatCode="0.00\ &quot;€/m&quot;"/>
    <numFmt numFmtId="199" formatCode="0.00\ &quot;St/m&quot;"/>
    <numFmt numFmtId="200" formatCode="0\ &quot;Be-/ Entladestationen für Taschen&quot;"/>
    <numFmt numFmtId="201" formatCode="0.00\ &quot;Mann&quot;"/>
    <numFmt numFmtId="202" formatCode="0.0\ &quot;Wo&quot;"/>
    <numFmt numFmtId="203" formatCode="0\ &quot;Wo&quot;"/>
    <numFmt numFmtId="204" formatCode="0.00\ &quot;m&quot;"/>
    <numFmt numFmtId="205" formatCode="0.00\ &quot;qm&quot;"/>
    <numFmt numFmtId="206" formatCode="0\ &quot;Ebenen&quot;"/>
    <numFmt numFmtId="207" formatCode="0\ &quot;Tg/Mann&quot;"/>
    <numFmt numFmtId="208" formatCode="0\ &quot;- etagig&quot;"/>
    <numFmt numFmtId="209" formatCode="0\ &quot;LKW&quot;"/>
    <numFmt numFmtId="210" formatCode="0\ &quot;Bund&quot;"/>
    <numFmt numFmtId="211" formatCode="0.00\ &quot;€/qm&quot;"/>
    <numFmt numFmtId="212" formatCode="&quot;Montage&quot;\ 0\ &quot;%&quot;"/>
    <numFmt numFmtId="213" formatCode="0\ &quot; qm/LKW&quot;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55"/>
      <name val="Arial"/>
      <family val="2"/>
    </font>
    <font>
      <sz val="11"/>
      <color indexed="55"/>
      <name val="Calibri"/>
      <family val="2"/>
    </font>
    <font>
      <sz val="10"/>
      <color indexed="55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B0F0"/>
      <name val="Calibri"/>
      <family val="2"/>
    </font>
    <font>
      <sz val="11"/>
      <color rgb="FFFFFF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F9A7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/>
    <xf numFmtId="0" fontId="8" fillId="0" borderId="2" xfId="0" applyFont="1" applyBorder="1"/>
    <xf numFmtId="4" fontId="8" fillId="0" borderId="0" xfId="0" applyNumberFormat="1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2" fillId="0" borderId="11" xfId="0" applyFont="1" applyBorder="1"/>
    <xf numFmtId="14" fontId="7" fillId="0" borderId="1" xfId="0" applyNumberFormat="1" applyFont="1" applyBorder="1" applyAlignment="1">
      <alignment horizontal="left"/>
    </xf>
    <xf numFmtId="0" fontId="2" fillId="0" borderId="12" xfId="0" applyFont="1" applyBorder="1"/>
    <xf numFmtId="0" fontId="9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8" fillId="2" borderId="11" xfId="0" applyFont="1" applyFill="1" applyBorder="1"/>
    <xf numFmtId="0" fontId="0" fillId="0" borderId="0" xfId="0" applyBorder="1"/>
    <xf numFmtId="14" fontId="2" fillId="0" borderId="5" xfId="0" applyNumberFormat="1" applyFont="1" applyBorder="1"/>
    <xf numFmtId="49" fontId="8" fillId="0" borderId="2" xfId="0" applyNumberFormat="1" applyFont="1" applyBorder="1"/>
    <xf numFmtId="0" fontId="5" fillId="0" borderId="0" xfId="2" applyFont="1" applyBorder="1"/>
    <xf numFmtId="0" fontId="0" fillId="3" borderId="0" xfId="0" applyFill="1"/>
    <xf numFmtId="0" fontId="5" fillId="3" borderId="14" xfId="2" applyFill="1" applyBorder="1"/>
    <xf numFmtId="0" fontId="0" fillId="3" borderId="14" xfId="0" applyFill="1" applyBorder="1"/>
    <xf numFmtId="0" fontId="5" fillId="3" borderId="0" xfId="2" applyFill="1" applyBorder="1"/>
    <xf numFmtId="2" fontId="0" fillId="3" borderId="0" xfId="0" applyNumberFormat="1" applyFill="1" applyBorder="1"/>
    <xf numFmtId="0" fontId="10" fillId="3" borderId="15" xfId="2" applyFont="1" applyFill="1" applyBorder="1"/>
    <xf numFmtId="0" fontId="5" fillId="3" borderId="15" xfId="2" applyFill="1" applyBorder="1"/>
    <xf numFmtId="0" fontId="0" fillId="3" borderId="0" xfId="0" applyFill="1" applyBorder="1"/>
    <xf numFmtId="0" fontId="10" fillId="3" borderId="14" xfId="2" applyFont="1" applyFill="1" applyBorder="1"/>
    <xf numFmtId="0" fontId="0" fillId="3" borderId="14" xfId="0" applyFill="1" applyBorder="1"/>
    <xf numFmtId="0" fontId="10" fillId="3" borderId="0" xfId="2" applyFont="1" applyFill="1" applyBorder="1"/>
    <xf numFmtId="0" fontId="10" fillId="3" borderId="16" xfId="2" applyFont="1" applyFill="1" applyBorder="1"/>
    <xf numFmtId="0" fontId="10" fillId="3" borderId="17" xfId="2" applyFont="1" applyFill="1" applyBorder="1"/>
    <xf numFmtId="0" fontId="5" fillId="3" borderId="17" xfId="2" applyFill="1" applyBorder="1"/>
    <xf numFmtId="0" fontId="5" fillId="3" borderId="18" xfId="2" applyFill="1" applyBorder="1"/>
    <xf numFmtId="0" fontId="5" fillId="0" borderId="0" xfId="2" applyBorder="1"/>
    <xf numFmtId="2" fontId="5" fillId="0" borderId="0" xfId="2" applyNumberFormat="1" applyBorder="1"/>
    <xf numFmtId="0" fontId="10" fillId="3" borderId="18" xfId="2" applyFont="1" applyFill="1" applyBorder="1"/>
    <xf numFmtId="0" fontId="10" fillId="3" borderId="19" xfId="2" applyFont="1" applyFill="1" applyBorder="1"/>
    <xf numFmtId="0" fontId="0" fillId="0" borderId="20" xfId="0" applyBorder="1"/>
    <xf numFmtId="0" fontId="5" fillId="0" borderId="21" xfId="2" applyBorder="1"/>
    <xf numFmtId="2" fontId="5" fillId="0" borderId="22" xfId="2" applyNumberFormat="1" applyBorder="1"/>
    <xf numFmtId="0" fontId="5" fillId="0" borderId="23" xfId="2" applyBorder="1"/>
    <xf numFmtId="2" fontId="5" fillId="0" borderId="24" xfId="2" applyNumberFormat="1" applyBorder="1"/>
    <xf numFmtId="0" fontId="5" fillId="0" borderId="25" xfId="2" applyBorder="1"/>
    <xf numFmtId="2" fontId="5" fillId="0" borderId="19" xfId="2" applyNumberFormat="1" applyBorder="1"/>
    <xf numFmtId="0" fontId="5" fillId="3" borderId="14" xfId="2" applyFill="1" applyBorder="1" applyAlignment="1">
      <alignment horizontal="center"/>
    </xf>
    <xf numFmtId="0" fontId="5" fillId="0" borderId="14" xfId="2" applyFont="1" applyBorder="1"/>
    <xf numFmtId="0" fontId="0" fillId="0" borderId="14" xfId="0" applyBorder="1"/>
    <xf numFmtId="0" fontId="5" fillId="3" borderId="16" xfId="2" applyFill="1" applyBorder="1"/>
    <xf numFmtId="0" fontId="0" fillId="3" borderId="17" xfId="0" applyFill="1" applyBorder="1"/>
    <xf numFmtId="0" fontId="0" fillId="3" borderId="18" xfId="0" applyFill="1" applyBorder="1"/>
    <xf numFmtId="0" fontId="5" fillId="3" borderId="16" xfId="2" applyFont="1" applyFill="1" applyBorder="1" applyAlignment="1">
      <alignment horizontal="right"/>
    </xf>
    <xf numFmtId="0" fontId="5" fillId="3" borderId="17" xfId="2" applyFill="1" applyBorder="1" applyAlignment="1">
      <alignment horizontal="left"/>
    </xf>
    <xf numFmtId="0" fontId="0" fillId="0" borderId="21" xfId="0" applyBorder="1"/>
    <xf numFmtId="0" fontId="0" fillId="0" borderId="2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19" xfId="0" applyBorder="1"/>
    <xf numFmtId="0" fontId="0" fillId="0" borderId="16" xfId="0" applyBorder="1"/>
    <xf numFmtId="0" fontId="0" fillId="0" borderId="17" xfId="0" applyBorder="1"/>
    <xf numFmtId="0" fontId="5" fillId="0" borderId="16" xfId="2" applyFont="1" applyBorder="1"/>
    <xf numFmtId="2" fontId="5" fillId="0" borderId="18" xfId="2" applyNumberFormat="1" applyBorder="1"/>
    <xf numFmtId="0" fontId="11" fillId="0" borderId="1" xfId="0" applyFont="1" applyBorder="1" applyAlignment="1">
      <alignment horizontal="center"/>
    </xf>
    <xf numFmtId="0" fontId="2" fillId="0" borderId="16" xfId="0" applyFont="1" applyBorder="1"/>
    <xf numFmtId="3" fontId="8" fillId="4" borderId="18" xfId="0" applyNumberFormat="1" applyFont="1" applyFill="1" applyBorder="1"/>
    <xf numFmtId="0" fontId="0" fillId="0" borderId="4" xfId="0" applyBorder="1"/>
    <xf numFmtId="0" fontId="0" fillId="0" borderId="1" xfId="0" applyBorder="1"/>
    <xf numFmtId="165" fontId="3" fillId="0" borderId="0" xfId="0" applyNumberFormat="1" applyFont="1" applyBorder="1" applyAlignment="1">
      <alignment horizontal="center"/>
    </xf>
    <xf numFmtId="3" fontId="8" fillId="0" borderId="0" xfId="0" applyNumberFormat="1" applyFont="1" applyBorder="1"/>
    <xf numFmtId="0" fontId="9" fillId="0" borderId="0" xfId="0" applyFont="1" applyBorder="1" applyAlignment="1">
      <alignment horizontal="center" wrapText="1"/>
    </xf>
    <xf numFmtId="0" fontId="5" fillId="3" borderId="17" xfId="2" applyFont="1" applyFill="1" applyBorder="1" applyAlignment="1">
      <alignment horizontal="right"/>
    </xf>
    <xf numFmtId="2" fontId="5" fillId="0" borderId="0" xfId="2" applyNumberFormat="1" applyFont="1" applyBorder="1"/>
    <xf numFmtId="0" fontId="5" fillId="3" borderId="0" xfId="2" applyFont="1" applyFill="1" applyBorder="1" applyAlignment="1">
      <alignment horizontal="right"/>
    </xf>
    <xf numFmtId="0" fontId="5" fillId="3" borderId="0" xfId="2" applyFill="1" applyBorder="1" applyAlignment="1">
      <alignment horizontal="left"/>
    </xf>
    <xf numFmtId="0" fontId="5" fillId="0" borderId="10" xfId="2" applyBorder="1"/>
    <xf numFmtId="0" fontId="5" fillId="0" borderId="11" xfId="2" applyBorder="1"/>
    <xf numFmtId="0" fontId="5" fillId="0" borderId="28" xfId="2" applyBorder="1"/>
    <xf numFmtId="0" fontId="5" fillId="0" borderId="29" xfId="2" applyFont="1" applyBorder="1"/>
    <xf numFmtId="0" fontId="5" fillId="0" borderId="29" xfId="2" applyFont="1" applyBorder="1" applyAlignment="1">
      <alignment wrapText="1"/>
    </xf>
    <xf numFmtId="0" fontId="5" fillId="3" borderId="29" xfId="2" applyFont="1" applyFill="1" applyBorder="1" applyAlignment="1">
      <alignment wrapText="1"/>
    </xf>
    <xf numFmtId="0" fontId="12" fillId="0" borderId="0" xfId="0" applyFont="1" applyBorder="1"/>
    <xf numFmtId="0" fontId="12" fillId="0" borderId="2" xfId="0" applyFont="1" applyBorder="1"/>
    <xf numFmtId="0" fontId="13" fillId="0" borderId="30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0" fillId="0" borderId="2" xfId="0" applyBorder="1"/>
    <xf numFmtId="14" fontId="0" fillId="0" borderId="31" xfId="0" applyNumberFormat="1" applyBorder="1"/>
    <xf numFmtId="0" fontId="5" fillId="0" borderId="0" xfId="1"/>
    <xf numFmtId="0" fontId="13" fillId="0" borderId="0" xfId="0" applyFont="1" applyBorder="1" applyAlignment="1">
      <alignment horizontal="left"/>
    </xf>
    <xf numFmtId="0" fontId="5" fillId="0" borderId="0" xfId="1" applyFont="1"/>
    <xf numFmtId="2" fontId="0" fillId="0" borderId="0" xfId="0" applyNumberFormat="1"/>
    <xf numFmtId="0" fontId="5" fillId="5" borderId="14" xfId="1" applyFill="1" applyBorder="1"/>
    <xf numFmtId="0" fontId="0" fillId="5" borderId="14" xfId="0" applyFill="1" applyBorder="1"/>
    <xf numFmtId="2" fontId="5" fillId="0" borderId="18" xfId="2" applyNumberFormat="1" applyFont="1" applyBorder="1"/>
    <xf numFmtId="0" fontId="5" fillId="0" borderId="21" xfId="2" applyFont="1" applyBorder="1"/>
    <xf numFmtId="0" fontId="5" fillId="0" borderId="23" xfId="2" applyFont="1" applyBorder="1"/>
    <xf numFmtId="0" fontId="5" fillId="0" borderId="25" xfId="2" applyFont="1" applyBorder="1"/>
    <xf numFmtId="2" fontId="5" fillId="0" borderId="19" xfId="2" applyNumberFormat="1" applyFont="1" applyBorder="1"/>
    <xf numFmtId="4" fontId="0" fillId="0" borderId="0" xfId="0" applyNumberFormat="1"/>
    <xf numFmtId="0" fontId="12" fillId="0" borderId="13" xfId="0" applyFont="1" applyBorder="1"/>
    <xf numFmtId="0" fontId="12" fillId="0" borderId="32" xfId="0" applyFont="1" applyBorder="1"/>
    <xf numFmtId="0" fontId="12" fillId="0" borderId="20" xfId="0" applyFont="1" applyBorder="1"/>
    <xf numFmtId="0" fontId="12" fillId="0" borderId="33" xfId="0" applyFont="1" applyBorder="1"/>
    <xf numFmtId="0" fontId="6" fillId="0" borderId="0" xfId="1" applyFont="1"/>
    <xf numFmtId="0" fontId="5" fillId="5" borderId="0" xfId="1" applyFill="1"/>
    <xf numFmtId="0" fontId="5" fillId="5" borderId="0" xfId="1" applyFont="1" applyFill="1"/>
    <xf numFmtId="0" fontId="0" fillId="0" borderId="0" xfId="0" applyAlignment="1"/>
    <xf numFmtId="0" fontId="12" fillId="0" borderId="34" xfId="0" applyFont="1" applyBorder="1" applyAlignment="1">
      <alignment horizontal="left"/>
    </xf>
    <xf numFmtId="2" fontId="5" fillId="5" borderId="14" xfId="1" applyNumberFormat="1" applyFill="1" applyBorder="1"/>
    <xf numFmtId="4" fontId="5" fillId="6" borderId="14" xfId="1" applyNumberFormat="1" applyFill="1" applyBorder="1"/>
    <xf numFmtId="0" fontId="5" fillId="3" borderId="35" xfId="2" applyFill="1" applyBorder="1"/>
    <xf numFmtId="0" fontId="5" fillId="0" borderId="14" xfId="2" applyFont="1" applyBorder="1" applyAlignment="1">
      <alignment wrapText="1"/>
    </xf>
    <xf numFmtId="164" fontId="0" fillId="3" borderId="14" xfId="0" applyNumberFormat="1" applyFill="1" applyBorder="1"/>
    <xf numFmtId="4" fontId="0" fillId="3" borderId="14" xfId="0" applyNumberFormat="1" applyFill="1" applyBorder="1"/>
    <xf numFmtId="164" fontId="0" fillId="3" borderId="0" xfId="0" applyNumberFormat="1" applyFill="1" applyBorder="1"/>
    <xf numFmtId="4" fontId="0" fillId="3" borderId="0" xfId="0" applyNumberFormat="1" applyFill="1" applyBorder="1"/>
    <xf numFmtId="0" fontId="5" fillId="8" borderId="0" xfId="2" applyFill="1" applyBorder="1"/>
    <xf numFmtId="2" fontId="5" fillId="8" borderId="0" xfId="2" applyNumberFormat="1" applyFill="1" applyBorder="1"/>
    <xf numFmtId="0" fontId="10" fillId="8" borderId="0" xfId="2" applyFont="1" applyFill="1" applyBorder="1"/>
    <xf numFmtId="0" fontId="0" fillId="8" borderId="0" xfId="0" applyFill="1" applyBorder="1"/>
    <xf numFmtId="164" fontId="0" fillId="8" borderId="0" xfId="0" applyNumberFormat="1" applyFill="1" applyBorder="1"/>
    <xf numFmtId="4" fontId="0" fillId="8" borderId="0" xfId="0" applyNumberFormat="1" applyFill="1" applyBorder="1"/>
    <xf numFmtId="0" fontId="5" fillId="8" borderId="0" xfId="2" applyFont="1" applyFill="1" applyBorder="1"/>
    <xf numFmtId="2" fontId="5" fillId="8" borderId="0" xfId="2" applyNumberFormat="1" applyFont="1" applyFill="1" applyBorder="1"/>
    <xf numFmtId="0" fontId="5" fillId="8" borderId="0" xfId="2" applyFont="1" applyFill="1" applyBorder="1" applyAlignment="1">
      <alignment horizontal="right"/>
    </xf>
    <xf numFmtId="0" fontId="5" fillId="8" borderId="0" xfId="2" applyFill="1" applyBorder="1" applyAlignment="1">
      <alignment horizontal="left"/>
    </xf>
    <xf numFmtId="3" fontId="4" fillId="4" borderId="28" xfId="0" applyNumberFormat="1" applyFont="1" applyFill="1" applyBorder="1"/>
    <xf numFmtId="0" fontId="1" fillId="3" borderId="20" xfId="0" applyFont="1" applyFill="1" applyBorder="1" applyAlignment="1">
      <alignment horizontal="center"/>
    </xf>
    <xf numFmtId="0" fontId="5" fillId="0" borderId="18" xfId="2" applyFont="1" applyBorder="1" applyAlignment="1">
      <alignment wrapText="1"/>
    </xf>
    <xf numFmtId="0" fontId="0" fillId="0" borderId="35" xfId="0" applyBorder="1"/>
    <xf numFmtId="4" fontId="0" fillId="3" borderId="18" xfId="0" applyNumberFormat="1" applyFill="1" applyBorder="1"/>
    <xf numFmtId="164" fontId="0" fillId="3" borderId="35" xfId="0" applyNumberFormat="1" applyFill="1" applyBorder="1"/>
    <xf numFmtId="0" fontId="0" fillId="7" borderId="0" xfId="0" applyFill="1"/>
    <xf numFmtId="0" fontId="0" fillId="0" borderId="0" xfId="0" applyBorder="1" applyAlignment="1">
      <alignment horizontal="center"/>
    </xf>
    <xf numFmtId="0" fontId="14" fillId="0" borderId="0" xfId="1" applyFont="1"/>
    <xf numFmtId="0" fontId="15" fillId="0" borderId="0" xfId="0" applyFont="1" applyAlignment="1"/>
    <xf numFmtId="0" fontId="16" fillId="0" borderId="0" xfId="1" applyFont="1"/>
    <xf numFmtId="4" fontId="16" fillId="3" borderId="14" xfId="1" applyNumberFormat="1" applyFont="1" applyFill="1" applyBorder="1"/>
    <xf numFmtId="2" fontId="16" fillId="3" borderId="14" xfId="1" applyNumberFormat="1" applyFont="1" applyFill="1" applyBorder="1"/>
    <xf numFmtId="3" fontId="8" fillId="3" borderId="0" xfId="0" applyNumberFormat="1" applyFont="1" applyFill="1" applyBorder="1"/>
    <xf numFmtId="4" fontId="0" fillId="3" borderId="0" xfId="0" applyNumberFormat="1" applyFill="1"/>
    <xf numFmtId="167" fontId="0" fillId="0" borderId="0" xfId="0" applyNumberFormat="1"/>
    <xf numFmtId="0" fontId="0" fillId="0" borderId="0" xfId="0" quotePrefix="1" applyAlignment="1">
      <alignment horizontal="center"/>
    </xf>
    <xf numFmtId="167" fontId="0" fillId="6" borderId="13" xfId="0" applyNumberFormat="1" applyFill="1" applyBorder="1"/>
    <xf numFmtId="0" fontId="0" fillId="7" borderId="13" xfId="0" applyFill="1" applyBorder="1"/>
    <xf numFmtId="165" fontId="0" fillId="7" borderId="0" xfId="0" applyNumberFormat="1" applyFill="1"/>
    <xf numFmtId="168" fontId="8" fillId="0" borderId="13" xfId="0" applyNumberFormat="1" applyFont="1" applyBorder="1"/>
    <xf numFmtId="169" fontId="8" fillId="0" borderId="13" xfId="0" applyNumberFormat="1" applyFont="1" applyBorder="1"/>
    <xf numFmtId="0" fontId="0" fillId="7" borderId="0" xfId="0" applyFill="1" applyBorder="1"/>
    <xf numFmtId="0" fontId="5" fillId="5" borderId="0" xfId="1" applyFill="1" applyBorder="1"/>
    <xf numFmtId="4" fontId="5" fillId="6" borderId="0" xfId="1" applyNumberFormat="1" applyFill="1" applyBorder="1"/>
    <xf numFmtId="0" fontId="0" fillId="0" borderId="36" xfId="0" applyBorder="1"/>
    <xf numFmtId="0" fontId="0" fillId="0" borderId="15" xfId="0" applyBorder="1"/>
    <xf numFmtId="2" fontId="5" fillId="5" borderId="0" xfId="1" applyNumberFormat="1" applyFill="1" applyBorder="1"/>
    <xf numFmtId="0" fontId="5" fillId="5" borderId="0" xfId="1" applyFont="1" applyFill="1" applyBorder="1"/>
    <xf numFmtId="0" fontId="0" fillId="0" borderId="16" xfId="0" applyBorder="1" applyAlignment="1"/>
    <xf numFmtId="0" fontId="5" fillId="5" borderId="17" xfId="1" applyFill="1" applyBorder="1"/>
    <xf numFmtId="0" fontId="5" fillId="5" borderId="18" xfId="1" applyFill="1" applyBorder="1"/>
    <xf numFmtId="0" fontId="5" fillId="3" borderId="18" xfId="2" applyFill="1" applyBorder="1" applyAlignment="1">
      <alignment horizontal="left"/>
    </xf>
    <xf numFmtId="0" fontId="4" fillId="4" borderId="0" xfId="0" applyFont="1" applyFill="1"/>
    <xf numFmtId="0" fontId="5" fillId="0" borderId="24" xfId="2" applyFont="1" applyFill="1" applyBorder="1" applyAlignment="1">
      <alignment wrapText="1"/>
    </xf>
    <xf numFmtId="167" fontId="0" fillId="7" borderId="14" xfId="0" applyNumberFormat="1" applyFill="1" applyBorder="1"/>
    <xf numFmtId="168" fontId="8" fillId="0" borderId="33" xfId="0" applyNumberFormat="1" applyFont="1" applyBorder="1"/>
    <xf numFmtId="168" fontId="8" fillId="0" borderId="37" xfId="0" applyNumberFormat="1" applyFont="1" applyBorder="1"/>
    <xf numFmtId="0" fontId="2" fillId="0" borderId="13" xfId="0" applyFont="1" applyBorder="1"/>
    <xf numFmtId="0" fontId="2" fillId="0" borderId="20" xfId="0" applyFont="1" applyBorder="1"/>
    <xf numFmtId="0" fontId="2" fillId="0" borderId="33" xfId="0" applyFont="1" applyBorder="1"/>
    <xf numFmtId="14" fontId="2" fillId="0" borderId="0" xfId="0" applyNumberFormat="1" applyFont="1" applyAlignment="1">
      <alignment horizontal="center" wrapText="1"/>
    </xf>
    <xf numFmtId="168" fontId="8" fillId="8" borderId="13" xfId="0" applyNumberFormat="1" applyFont="1" applyFill="1" applyBorder="1"/>
    <xf numFmtId="171" fontId="2" fillId="0" borderId="0" xfId="0" applyNumberFormat="1" applyFont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3" fontId="19" fillId="9" borderId="0" xfId="0" applyNumberFormat="1" applyFont="1" applyFill="1" applyBorder="1"/>
    <xf numFmtId="173" fontId="0" fillId="0" borderId="0" xfId="0" applyNumberFormat="1" applyBorder="1"/>
    <xf numFmtId="3" fontId="8" fillId="4" borderId="14" xfId="0" applyNumberFormat="1" applyFont="1" applyFill="1" applyBorder="1"/>
    <xf numFmtId="0" fontId="0" fillId="0" borderId="14" xfId="0" applyBorder="1" applyAlignment="1">
      <alignment horizontal="center"/>
    </xf>
    <xf numFmtId="0" fontId="13" fillId="0" borderId="33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14" fontId="0" fillId="0" borderId="33" xfId="0" applyNumberFormat="1" applyBorder="1"/>
    <xf numFmtId="3" fontId="8" fillId="8" borderId="13" xfId="0" applyNumberFormat="1" applyFont="1" applyFill="1" applyBorder="1"/>
    <xf numFmtId="3" fontId="8" fillId="0" borderId="27" xfId="0" applyNumberFormat="1" applyFont="1" applyBorder="1"/>
    <xf numFmtId="168" fontId="8" fillId="0" borderId="20" xfId="0" applyNumberFormat="1" applyFont="1" applyBorder="1"/>
    <xf numFmtId="169" fontId="8" fillId="0" borderId="33" xfId="0" applyNumberFormat="1" applyFont="1" applyBorder="1"/>
    <xf numFmtId="179" fontId="0" fillId="0" borderId="0" xfId="0" applyNumberFormat="1"/>
    <xf numFmtId="180" fontId="0" fillId="0" borderId="0" xfId="0" applyNumberFormat="1"/>
    <xf numFmtId="0" fontId="18" fillId="0" borderId="0" xfId="0" applyFont="1"/>
    <xf numFmtId="182" fontId="0" fillId="0" borderId="0" xfId="0" applyNumberFormat="1"/>
    <xf numFmtId="183" fontId="0" fillId="0" borderId="0" xfId="0" applyNumberFormat="1"/>
    <xf numFmtId="184" fontId="0" fillId="0" borderId="0" xfId="0" applyNumberFormat="1"/>
    <xf numFmtId="185" fontId="0" fillId="0" borderId="0" xfId="0" applyNumberFormat="1"/>
    <xf numFmtId="186" fontId="0" fillId="0" borderId="0" xfId="0" applyNumberFormat="1"/>
    <xf numFmtId="188" fontId="0" fillId="0" borderId="0" xfId="0" applyNumberFormat="1"/>
    <xf numFmtId="189" fontId="0" fillId="10" borderId="0" xfId="0" applyNumberFormat="1" applyFill="1"/>
    <xf numFmtId="190" fontId="0" fillId="0" borderId="0" xfId="0" applyNumberFormat="1"/>
    <xf numFmtId="177" fontId="0" fillId="0" borderId="0" xfId="0" applyNumberFormat="1"/>
    <xf numFmtId="177" fontId="18" fillId="0" borderId="0" xfId="0" applyNumberFormat="1" applyFont="1"/>
    <xf numFmtId="173" fontId="0" fillId="0" borderId="0" xfId="0" applyNumberFormat="1"/>
    <xf numFmtId="172" fontId="2" fillId="11" borderId="14" xfId="0" applyNumberFormat="1" applyFont="1" applyFill="1" applyBorder="1"/>
    <xf numFmtId="191" fontId="2" fillId="11" borderId="14" xfId="0" applyNumberFormat="1" applyFont="1" applyFill="1" applyBorder="1"/>
    <xf numFmtId="187" fontId="2" fillId="11" borderId="14" xfId="0" applyNumberFormat="1" applyFont="1" applyFill="1" applyBorder="1"/>
    <xf numFmtId="192" fontId="2" fillId="11" borderId="14" xfId="0" applyNumberFormat="1" applyFont="1" applyFill="1" applyBorder="1"/>
    <xf numFmtId="188" fontId="0" fillId="11" borderId="14" xfId="0" applyNumberFormat="1" applyFill="1" applyBorder="1"/>
    <xf numFmtId="172" fontId="0" fillId="0" borderId="0" xfId="0" applyNumberFormat="1"/>
    <xf numFmtId="172" fontId="0" fillId="11" borderId="14" xfId="0" applyNumberFormat="1" applyFill="1" applyBorder="1"/>
    <xf numFmtId="0" fontId="21" fillId="0" borderId="0" xfId="0" applyFont="1"/>
    <xf numFmtId="185" fontId="0" fillId="12" borderId="0" xfId="0" applyNumberFormat="1" applyFill="1"/>
    <xf numFmtId="193" fontId="22" fillId="0" borderId="0" xfId="0" applyNumberFormat="1" applyFont="1"/>
    <xf numFmtId="194" fontId="2" fillId="11" borderId="14" xfId="0" applyNumberFormat="1" applyFont="1" applyFill="1" applyBorder="1"/>
    <xf numFmtId="195" fontId="0" fillId="0" borderId="0" xfId="0" applyNumberFormat="1"/>
    <xf numFmtId="195" fontId="0" fillId="0" borderId="0" xfId="0" applyNumberFormat="1" applyAlignment="1">
      <alignment horizontal="center"/>
    </xf>
    <xf numFmtId="195" fontId="18" fillId="0" borderId="0" xfId="0" applyNumberFormat="1" applyFont="1"/>
    <xf numFmtId="188" fontId="2" fillId="11" borderId="14" xfId="0" applyNumberFormat="1" applyFont="1" applyFill="1" applyBorder="1"/>
    <xf numFmtId="196" fontId="0" fillId="0" borderId="0" xfId="0" applyNumberFormat="1"/>
    <xf numFmtId="165" fontId="3" fillId="11" borderId="12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97" fontId="2" fillId="11" borderId="14" xfId="0" applyNumberFormat="1" applyFont="1" applyFill="1" applyBorder="1"/>
    <xf numFmtId="197" fontId="0" fillId="0" borderId="0" xfId="0" applyNumberFormat="1"/>
    <xf numFmtId="167" fontId="0" fillId="0" borderId="14" xfId="0" applyNumberFormat="1" applyBorder="1"/>
    <xf numFmtId="0" fontId="5" fillId="0" borderId="0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21" xfId="1" applyFont="1" applyFill="1" applyBorder="1"/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5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188" fontId="0" fillId="7" borderId="14" xfId="0" applyNumberFormat="1" applyFill="1" applyBorder="1" applyAlignment="1">
      <alignment horizontal="center"/>
    </xf>
    <xf numFmtId="188" fontId="0" fillId="6" borderId="14" xfId="0" applyNumberFormat="1" applyFill="1" applyBorder="1"/>
    <xf numFmtId="164" fontId="0" fillId="0" borderId="0" xfId="0" applyNumberFormat="1"/>
    <xf numFmtId="4" fontId="21" fillId="0" borderId="0" xfId="0" applyNumberFormat="1" applyFont="1"/>
    <xf numFmtId="188" fontId="0" fillId="0" borderId="17" xfId="0" applyNumberFormat="1" applyBorder="1"/>
    <xf numFmtId="173" fontId="0" fillId="0" borderId="17" xfId="0" applyNumberFormat="1" applyBorder="1"/>
    <xf numFmtId="188" fontId="0" fillId="0" borderId="26" xfId="0" applyNumberFormat="1" applyBorder="1"/>
    <xf numFmtId="173" fontId="0" fillId="0" borderId="26" xfId="0" applyNumberFormat="1" applyBorder="1"/>
    <xf numFmtId="188" fontId="0" fillId="0" borderId="22" xfId="0" applyNumberFormat="1" applyBorder="1"/>
    <xf numFmtId="188" fontId="0" fillId="0" borderId="0" xfId="0" applyNumberFormat="1" applyBorder="1"/>
    <xf numFmtId="188" fontId="0" fillId="0" borderId="24" xfId="0" applyNumberFormat="1" applyBorder="1"/>
    <xf numFmtId="173" fontId="0" fillId="0" borderId="27" xfId="0" applyNumberFormat="1" applyBorder="1"/>
    <xf numFmtId="188" fontId="0" fillId="0" borderId="27" xfId="0" applyNumberFormat="1" applyBorder="1"/>
    <xf numFmtId="0" fontId="0" fillId="0" borderId="17" xfId="0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0" xfId="0" applyAlignment="1">
      <alignment horizontal="center"/>
    </xf>
    <xf numFmtId="199" fontId="0" fillId="0" borderId="0" xfId="0" applyNumberFormat="1"/>
    <xf numFmtId="177" fontId="0" fillId="0" borderId="14" xfId="0" applyNumberFormat="1" applyBorder="1"/>
    <xf numFmtId="195" fontId="0" fillId="0" borderId="14" xfId="0" applyNumberFormat="1" applyBorder="1"/>
    <xf numFmtId="179" fontId="0" fillId="11" borderId="14" xfId="0" applyNumberFormat="1" applyFill="1" applyBorder="1"/>
    <xf numFmtId="178" fontId="0" fillId="11" borderId="14" xfId="0" applyNumberFormat="1" applyFill="1" applyBorder="1"/>
    <xf numFmtId="0" fontId="0" fillId="0" borderId="0" xfId="0"/>
    <xf numFmtId="0" fontId="13" fillId="0" borderId="39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5" fillId="0" borderId="23" xfId="1" applyFont="1" applyBorder="1"/>
    <xf numFmtId="0" fontId="0" fillId="0" borderId="24" xfId="0" applyBorder="1" applyAlignment="1">
      <alignment horizontal="right" vertical="center"/>
    </xf>
    <xf numFmtId="180" fontId="18" fillId="0" borderId="14" xfId="0" applyNumberFormat="1" applyFont="1" applyBorder="1"/>
    <xf numFmtId="179" fontId="0" fillId="0" borderId="14" xfId="0" applyNumberFormat="1" applyBorder="1"/>
    <xf numFmtId="167" fontId="0" fillId="0" borderId="0" xfId="0" applyNumberFormat="1" applyBorder="1"/>
    <xf numFmtId="167" fontId="0" fillId="0" borderId="24" xfId="0" applyNumberFormat="1" applyBorder="1"/>
    <xf numFmtId="0" fontId="0" fillId="0" borderId="0" xfId="0"/>
    <xf numFmtId="0" fontId="0" fillId="0" borderId="0" xfId="0"/>
    <xf numFmtId="0" fontId="0" fillId="0" borderId="14" xfId="0" applyFill="1" applyBorder="1"/>
    <xf numFmtId="0" fontId="0" fillId="0" borderId="0" xfId="0" applyAlignment="1">
      <alignment horizontal="center"/>
    </xf>
    <xf numFmtId="195" fontId="0" fillId="0" borderId="0" xfId="0" applyNumberFormat="1" applyFont="1"/>
    <xf numFmtId="172" fontId="2" fillId="0" borderId="0" xfId="0" applyNumberFormat="1" applyFont="1"/>
    <xf numFmtId="202" fontId="2" fillId="0" borderId="0" xfId="0" applyNumberFormat="1" applyFont="1"/>
    <xf numFmtId="0" fontId="23" fillId="9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203" fontId="2" fillId="0" borderId="0" xfId="0" applyNumberFormat="1" applyFont="1"/>
    <xf numFmtId="0" fontId="0" fillId="0" borderId="26" xfId="0" applyBorder="1" applyAlignment="1">
      <alignment horizontal="center"/>
    </xf>
    <xf numFmtId="201" fontId="0" fillId="13" borderId="22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201" fontId="0" fillId="13" borderId="19" xfId="0" applyNumberFormat="1" applyFill="1" applyBorder="1" applyAlignment="1">
      <alignment horizontal="center" vertical="center"/>
    </xf>
    <xf numFmtId="204" fontId="8" fillId="0" borderId="13" xfId="0" applyNumberFormat="1" applyFont="1" applyBorder="1"/>
    <xf numFmtId="205" fontId="8" fillId="0" borderId="13" xfId="0" applyNumberFormat="1" applyFont="1" applyBorder="1"/>
    <xf numFmtId="168" fontId="8" fillId="11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/>
    <xf numFmtId="179" fontId="0" fillId="0" borderId="17" xfId="0" applyNumberFormat="1" applyBorder="1"/>
    <xf numFmtId="0" fontId="0" fillId="0" borderId="0" xfId="0"/>
    <xf numFmtId="185" fontId="0" fillId="0" borderId="23" xfId="0" applyNumberFormat="1" applyBorder="1"/>
    <xf numFmtId="0" fontId="0" fillId="0" borderId="0" xfId="0"/>
    <xf numFmtId="0" fontId="0" fillId="0" borderId="26" xfId="0" applyBorder="1"/>
    <xf numFmtId="3" fontId="0" fillId="6" borderId="13" xfId="0" applyNumberFormat="1" applyFill="1" applyBorder="1"/>
    <xf numFmtId="167" fontId="0" fillId="0" borderId="27" xfId="0" applyNumberFormat="1" applyBorder="1"/>
    <xf numFmtId="170" fontId="0" fillId="3" borderId="0" xfId="0" applyNumberFormat="1" applyFill="1" applyBorder="1"/>
    <xf numFmtId="170" fontId="0" fillId="7" borderId="0" xfId="0" applyNumberFormat="1" applyFill="1" applyBorder="1"/>
    <xf numFmtId="0" fontId="20" fillId="9" borderId="0" xfId="0" applyFont="1" applyFill="1" applyBorder="1"/>
    <xf numFmtId="188" fontId="0" fillId="16" borderId="0" xfId="0" applyNumberFormat="1" applyFill="1" applyBorder="1"/>
    <xf numFmtId="188" fontId="0" fillId="15" borderId="0" xfId="0" applyNumberFormat="1" applyFill="1" applyBorder="1"/>
    <xf numFmtId="173" fontId="0" fillId="6" borderId="0" xfId="0" applyNumberFormat="1" applyFill="1" applyBorder="1"/>
    <xf numFmtId="181" fontId="0" fillId="10" borderId="0" xfId="0" applyNumberFormat="1" applyFill="1" applyBorder="1"/>
    <xf numFmtId="197" fontId="0" fillId="0" borderId="0" xfId="0" applyNumberFormat="1" applyBorder="1"/>
    <xf numFmtId="209" fontId="0" fillId="0" borderId="0" xfId="0" applyNumberFormat="1" applyBorder="1"/>
    <xf numFmtId="0" fontId="4" fillId="0" borderId="21" xfId="0" applyFont="1" applyBorder="1"/>
    <xf numFmtId="188" fontId="0" fillId="11" borderId="24" xfId="0" applyNumberFormat="1" applyFill="1" applyBorder="1"/>
    <xf numFmtId="188" fontId="0" fillId="15" borderId="24" xfId="0" applyNumberFormat="1" applyFill="1" applyBorder="1"/>
    <xf numFmtId="0" fontId="18" fillId="0" borderId="21" xfId="0" applyFont="1" applyBorder="1"/>
    <xf numFmtId="188" fontId="0" fillId="16" borderId="24" xfId="0" applyNumberFormat="1" applyFill="1" applyBorder="1"/>
    <xf numFmtId="210" fontId="0" fillId="0" borderId="17" xfId="0" applyNumberFormat="1" applyBorder="1"/>
    <xf numFmtId="0" fontId="0" fillId="0" borderId="18" xfId="0" applyBorder="1"/>
    <xf numFmtId="197" fontId="0" fillId="0" borderId="26" xfId="0" applyNumberFormat="1" applyBorder="1"/>
    <xf numFmtId="0" fontId="24" fillId="0" borderId="26" xfId="0" applyFont="1" applyBorder="1" applyAlignment="1">
      <alignment horizontal="center"/>
    </xf>
    <xf numFmtId="188" fontId="0" fillId="16" borderId="27" xfId="0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26" xfId="0" applyBorder="1"/>
    <xf numFmtId="0" fontId="5" fillId="3" borderId="18" xfId="2" applyFont="1" applyFill="1" applyBorder="1"/>
    <xf numFmtId="0" fontId="0" fillId="0" borderId="0" xfId="0"/>
    <xf numFmtId="170" fontId="0" fillId="0" borderId="0" xfId="0" applyNumberFormat="1" applyBorder="1"/>
    <xf numFmtId="0" fontId="0" fillId="0" borderId="23" xfId="0" applyFill="1" applyBorder="1"/>
    <xf numFmtId="170" fontId="0" fillId="0" borderId="24" xfId="0" applyNumberFormat="1" applyBorder="1"/>
    <xf numFmtId="0" fontId="0" fillId="0" borderId="25" xfId="0" applyFill="1" applyBorder="1"/>
    <xf numFmtId="170" fontId="0" fillId="0" borderId="27" xfId="0" applyNumberFormat="1" applyBorder="1"/>
    <xf numFmtId="170" fontId="0" fillId="0" borderId="19" xfId="0" applyNumberFormat="1" applyBorder="1"/>
    <xf numFmtId="0" fontId="2" fillId="11" borderId="0" xfId="0" applyFont="1" applyFill="1" applyAlignment="1">
      <alignment horizontal="center"/>
    </xf>
    <xf numFmtId="206" fontId="2" fillId="0" borderId="0" xfId="0" applyNumberFormat="1" applyFont="1" applyAlignment="1">
      <alignment horizontal="center"/>
    </xf>
    <xf numFmtId="0" fontId="5" fillId="11" borderId="14" xfId="2" applyFill="1" applyBorder="1" applyAlignment="1">
      <alignment horizontal="center"/>
    </xf>
    <xf numFmtId="198" fontId="7" fillId="0" borderId="13" xfId="0" applyNumberFormat="1" applyFont="1" applyBorder="1"/>
    <xf numFmtId="211" fontId="7" fillId="0" borderId="13" xfId="0" applyNumberFormat="1" applyFont="1" applyBorder="1"/>
    <xf numFmtId="0" fontId="25" fillId="0" borderId="0" xfId="0" applyFont="1" applyAlignment="1">
      <alignment horizontal="center"/>
    </xf>
    <xf numFmtId="0" fontId="0" fillId="0" borderId="0" xfId="0"/>
    <xf numFmtId="0" fontId="0" fillId="0" borderId="26" xfId="0" applyBorder="1"/>
    <xf numFmtId="0" fontId="0" fillId="0" borderId="26" xfId="0" applyBorder="1"/>
    <xf numFmtId="0" fontId="0" fillId="7" borderId="14" xfId="0" applyFill="1" applyBorder="1"/>
    <xf numFmtId="188" fontId="0" fillId="16" borderId="19" xfId="0" applyNumberFormat="1" applyFill="1" applyBorder="1"/>
    <xf numFmtId="0" fontId="0" fillId="0" borderId="0" xfId="0" applyBorder="1"/>
    <xf numFmtId="0" fontId="18" fillId="12" borderId="14" xfId="0" applyFont="1" applyFill="1" applyBorder="1" applyAlignment="1">
      <alignment horizontal="center" vertical="center"/>
    </xf>
    <xf numFmtId="208" fontId="0" fillId="0" borderId="27" xfId="0" applyNumberFormat="1" applyBorder="1" applyAlignment="1">
      <alignment horizontal="left"/>
    </xf>
    <xf numFmtId="188" fontId="0" fillId="12" borderId="0" xfId="0" applyNumberFormat="1" applyFill="1" applyBorder="1"/>
    <xf numFmtId="188" fontId="0" fillId="12" borderId="24" xfId="0" applyNumberFormat="1" applyFill="1" applyBorder="1"/>
    <xf numFmtId="213" fontId="0" fillId="0" borderId="24" xfId="0" applyNumberFormat="1" applyBorder="1"/>
    <xf numFmtId="0" fontId="18" fillId="7" borderId="15" xfId="0" applyFont="1" applyFill="1" applyBorder="1" applyAlignment="1">
      <alignment horizontal="center" vertical="center"/>
    </xf>
    <xf numFmtId="170" fontId="0" fillId="3" borderId="17" xfId="0" applyNumberFormat="1" applyFill="1" applyBorder="1"/>
    <xf numFmtId="212" fontId="0" fillId="0" borderId="17" xfId="0" applyNumberFormat="1" applyBorder="1"/>
    <xf numFmtId="0" fontId="0" fillId="0" borderId="0" xfId="0"/>
    <xf numFmtId="0" fontId="5" fillId="3" borderId="17" xfId="2" applyFill="1" applyBorder="1"/>
    <xf numFmtId="0" fontId="5" fillId="3" borderId="18" xfId="2" applyFill="1" applyBorder="1"/>
    <xf numFmtId="0" fontId="0" fillId="0" borderId="16" xfId="0" applyBorder="1"/>
    <xf numFmtId="0" fontId="5" fillId="3" borderId="14" xfId="2" applyFont="1" applyFill="1" applyBorder="1"/>
    <xf numFmtId="0" fontId="5" fillId="3" borderId="18" xfId="2" applyFont="1" applyFill="1" applyBorder="1"/>
    <xf numFmtId="0" fontId="5" fillId="3" borderId="16" xfId="2" applyFill="1" applyBorder="1"/>
    <xf numFmtId="0" fontId="5" fillId="3" borderId="15" xfId="2" applyFont="1" applyFill="1" applyBorder="1"/>
    <xf numFmtId="0" fontId="5" fillId="3" borderId="15" xfId="2" applyFill="1" applyBorder="1"/>
    <xf numFmtId="0" fontId="5" fillId="3" borderId="19" xfId="2" applyFont="1" applyFill="1" applyBorder="1"/>
    <xf numFmtId="0" fontId="5" fillId="3" borderId="15" xfId="2" applyFont="1" applyFill="1" applyBorder="1"/>
    <xf numFmtId="0" fontId="5" fillId="3" borderId="15" xfId="2" applyFill="1" applyBorder="1"/>
    <xf numFmtId="0" fontId="5" fillId="3" borderId="19" xfId="2" applyFont="1" applyFill="1" applyBorder="1"/>
    <xf numFmtId="0" fontId="5" fillId="3" borderId="14" xfId="2" applyFont="1" applyFill="1" applyBorder="1"/>
    <xf numFmtId="0" fontId="5" fillId="3" borderId="18" xfId="2" applyFont="1" applyFill="1" applyBorder="1"/>
    <xf numFmtId="0" fontId="5" fillId="3" borderId="16" xfId="2" applyFill="1" applyBorder="1"/>
    <xf numFmtId="0" fontId="5" fillId="3" borderId="14" xfId="2" applyFill="1" applyBorder="1"/>
    <xf numFmtId="0" fontId="5" fillId="3" borderId="15" xfId="2" applyFont="1" applyFill="1" applyBorder="1"/>
    <xf numFmtId="0" fontId="5" fillId="3" borderId="15" xfId="2" applyFill="1" applyBorder="1"/>
    <xf numFmtId="0" fontId="5" fillId="3" borderId="14" xfId="2" applyFont="1" applyFill="1" applyBorder="1"/>
    <xf numFmtId="0" fontId="5" fillId="3" borderId="19" xfId="2" applyFont="1" applyFill="1" applyBorder="1"/>
    <xf numFmtId="0" fontId="5" fillId="3" borderId="14" xfId="2" applyFont="1" applyFill="1" applyBorder="1"/>
    <xf numFmtId="0" fontId="5" fillId="3" borderId="18" xfId="2" applyFont="1" applyFill="1" applyBorder="1"/>
    <xf numFmtId="0" fontId="5" fillId="3" borderId="16" xfId="2" applyFill="1" applyBorder="1"/>
    <xf numFmtId="0" fontId="5" fillId="3" borderId="15" xfId="2" applyFont="1" applyFill="1" applyBorder="1"/>
    <xf numFmtId="0" fontId="5" fillId="3" borderId="15" xfId="2" applyFill="1" applyBorder="1"/>
    <xf numFmtId="0" fontId="5" fillId="3" borderId="19" xfId="2" applyFont="1" applyFill="1" applyBorder="1"/>
    <xf numFmtId="0" fontId="5" fillId="3" borderId="14" xfId="2" applyFont="1" applyFill="1" applyBorder="1"/>
    <xf numFmtId="0" fontId="5" fillId="3" borderId="18" xfId="2" applyFont="1" applyFill="1" applyBorder="1"/>
    <xf numFmtId="0" fontId="5" fillId="3" borderId="16" xfId="2" applyFill="1" applyBorder="1"/>
    <xf numFmtId="0" fontId="5" fillId="3" borderId="14" xfId="2" applyFill="1" applyBorder="1"/>
    <xf numFmtId="0" fontId="5" fillId="3" borderId="15" xfId="2" applyFont="1" applyFill="1" applyBorder="1"/>
    <xf numFmtId="0" fontId="5" fillId="3" borderId="15" xfId="2" applyFill="1" applyBorder="1"/>
    <xf numFmtId="0" fontId="5" fillId="3" borderId="14" xfId="2" applyFont="1" applyFill="1" applyBorder="1"/>
    <xf numFmtId="0" fontId="5" fillId="3" borderId="19" xfId="2" applyFont="1" applyFill="1" applyBorder="1"/>
    <xf numFmtId="0" fontId="5" fillId="3" borderId="14" xfId="2" applyFont="1" applyFill="1" applyBorder="1"/>
    <xf numFmtId="0" fontId="5" fillId="3" borderId="18" xfId="2" applyFont="1" applyFill="1" applyBorder="1"/>
    <xf numFmtId="0" fontId="5" fillId="3" borderId="16" xfId="2" applyFill="1" applyBorder="1"/>
    <xf numFmtId="0" fontId="5" fillId="3" borderId="14" xfId="2" applyFill="1" applyBorder="1"/>
    <xf numFmtId="0" fontId="5" fillId="3" borderId="15" xfId="2" applyFont="1" applyFill="1" applyBorder="1"/>
    <xf numFmtId="0" fontId="5" fillId="3" borderId="15" xfId="2" applyFill="1" applyBorder="1"/>
    <xf numFmtId="0" fontId="5" fillId="3" borderId="19" xfId="2" applyFont="1" applyFill="1" applyBorder="1"/>
    <xf numFmtId="0" fontId="5" fillId="3" borderId="14" xfId="2" applyFont="1" applyFill="1" applyBorder="1"/>
    <xf numFmtId="0" fontId="5" fillId="3" borderId="18" xfId="2" applyFont="1" applyFill="1" applyBorder="1"/>
    <xf numFmtId="0" fontId="5" fillId="3" borderId="16" xfId="2" applyFill="1" applyBorder="1"/>
    <xf numFmtId="0" fontId="5" fillId="3" borderId="14" xfId="2" applyFill="1" applyBorder="1"/>
    <xf numFmtId="0" fontId="5" fillId="3" borderId="15" xfId="2" applyFont="1" applyFill="1" applyBorder="1"/>
    <xf numFmtId="0" fontId="5" fillId="3" borderId="15" xfId="2" applyFill="1" applyBorder="1"/>
    <xf numFmtId="0" fontId="5" fillId="3" borderId="14" xfId="2" applyFont="1" applyFill="1" applyBorder="1"/>
    <xf numFmtId="0" fontId="5" fillId="3" borderId="19" xfId="2" applyFont="1" applyFill="1" applyBorder="1"/>
    <xf numFmtId="0" fontId="5" fillId="3" borderId="15" xfId="2" applyFont="1" applyFill="1" applyBorder="1"/>
    <xf numFmtId="0" fontId="5" fillId="3" borderId="15" xfId="2" applyFill="1" applyBorder="1"/>
    <xf numFmtId="0" fontId="5" fillId="3" borderId="19" xfId="2" applyFont="1" applyFill="1" applyBorder="1"/>
    <xf numFmtId="0" fontId="5" fillId="3" borderId="15" xfId="2" applyFont="1" applyFill="1" applyBorder="1"/>
    <xf numFmtId="0" fontId="5" fillId="3" borderId="15" xfId="2" applyFill="1" applyBorder="1"/>
    <xf numFmtId="0" fontId="5" fillId="3" borderId="18" xfId="2" applyFont="1" applyFill="1" applyBorder="1"/>
    <xf numFmtId="0" fontId="5" fillId="3" borderId="19" xfId="2" applyFont="1" applyFill="1" applyBorder="1"/>
    <xf numFmtId="0" fontId="0" fillId="0" borderId="0" xfId="0" applyAlignment="1">
      <alignment horizontal="center"/>
    </xf>
    <xf numFmtId="0" fontId="5" fillId="3" borderId="35" xfId="2" applyFont="1" applyFill="1" applyBorder="1"/>
    <xf numFmtId="0" fontId="5" fillId="17" borderId="19" xfId="2" applyFont="1" applyFill="1" applyBorder="1"/>
    <xf numFmtId="0" fontId="5" fillId="17" borderId="14" xfId="2" applyFont="1" applyFill="1" applyBorder="1"/>
    <xf numFmtId="0" fontId="5" fillId="17" borderId="14" xfId="2" applyFill="1" applyBorder="1"/>
    <xf numFmtId="0" fontId="5" fillId="17" borderId="15" xfId="2" applyFont="1" applyFill="1" applyBorder="1"/>
    <xf numFmtId="0" fontId="5" fillId="17" borderId="15" xfId="2" applyFill="1" applyBorder="1"/>
    <xf numFmtId="0" fontId="26" fillId="17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166" fontId="8" fillId="0" borderId="38" xfId="0" applyNumberFormat="1" applyFont="1" applyBorder="1" applyAlignment="1">
      <alignment horizontal="left"/>
    </xf>
    <xf numFmtId="166" fontId="8" fillId="0" borderId="33" xfId="0" applyNumberFormat="1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3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200" fontId="8" fillId="0" borderId="38" xfId="0" applyNumberFormat="1" applyFont="1" applyBorder="1" applyAlignment="1">
      <alignment horizontal="left"/>
    </xf>
    <xf numFmtId="200" fontId="8" fillId="0" borderId="33" xfId="0" applyNumberFormat="1" applyFont="1" applyBorder="1" applyAlignment="1">
      <alignment horizontal="left"/>
    </xf>
    <xf numFmtId="174" fontId="8" fillId="11" borderId="38" xfId="0" applyNumberFormat="1" applyFont="1" applyFill="1" applyBorder="1" applyAlignment="1">
      <alignment horizontal="left"/>
    </xf>
    <xf numFmtId="174" fontId="8" fillId="11" borderId="33" xfId="0" applyNumberFormat="1" applyFont="1" applyFill="1" applyBorder="1" applyAlignment="1">
      <alignment horizontal="left"/>
    </xf>
    <xf numFmtId="176" fontId="8" fillId="11" borderId="38" xfId="0" applyNumberFormat="1" applyFont="1" applyFill="1" applyBorder="1" applyAlignment="1">
      <alignment horizontal="left"/>
    </xf>
    <xf numFmtId="176" fontId="8" fillId="11" borderId="33" xfId="0" applyNumberFormat="1" applyFont="1" applyFill="1" applyBorder="1" applyAlignment="1">
      <alignment horizontal="left"/>
    </xf>
    <xf numFmtId="175" fontId="8" fillId="11" borderId="38" xfId="0" applyNumberFormat="1" applyFont="1" applyFill="1" applyBorder="1" applyAlignment="1">
      <alignment horizontal="left"/>
    </xf>
    <xf numFmtId="175" fontId="8" fillId="11" borderId="33" xfId="0" applyNumberFormat="1" applyFont="1" applyFill="1" applyBorder="1" applyAlignment="1">
      <alignment horizontal="left"/>
    </xf>
    <xf numFmtId="0" fontId="2" fillId="0" borderId="0" xfId="0" applyFont="1"/>
    <xf numFmtId="0" fontId="3" fillId="0" borderId="23" xfId="0" applyFont="1" applyBorder="1"/>
    <xf numFmtId="0" fontId="3" fillId="0" borderId="0" xfId="0" applyFont="1"/>
    <xf numFmtId="0" fontId="5" fillId="3" borderId="16" xfId="2" applyFill="1" applyBorder="1" applyAlignment="1">
      <alignment horizontal="center" vertical="center"/>
    </xf>
    <xf numFmtId="0" fontId="5" fillId="3" borderId="17" xfId="2" applyFill="1" applyBorder="1" applyAlignment="1">
      <alignment horizontal="center" vertical="center"/>
    </xf>
    <xf numFmtId="0" fontId="5" fillId="3" borderId="18" xfId="2" applyFill="1" applyBorder="1" applyAlignment="1">
      <alignment horizontal="center" vertical="center"/>
    </xf>
    <xf numFmtId="0" fontId="5" fillId="0" borderId="21" xfId="2" applyFont="1" applyBorder="1" applyAlignment="1">
      <alignment horizontal="left"/>
    </xf>
    <xf numFmtId="0" fontId="5" fillId="0" borderId="22" xfId="2" applyFont="1" applyBorder="1" applyAlignment="1">
      <alignment horizontal="left"/>
    </xf>
    <xf numFmtId="0" fontId="5" fillId="0" borderId="16" xfId="2" applyFont="1" applyBorder="1" applyAlignment="1">
      <alignment horizontal="left"/>
    </xf>
    <xf numFmtId="0" fontId="5" fillId="0" borderId="18" xfId="2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6" fillId="3" borderId="21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3" borderId="22" xfId="2" applyFont="1" applyFill="1" applyBorder="1" applyAlignment="1">
      <alignment horizontal="center"/>
    </xf>
    <xf numFmtId="0" fontId="6" fillId="3" borderId="23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/>
    </xf>
    <xf numFmtId="0" fontId="6" fillId="3" borderId="24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27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0" fillId="3" borderId="21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22" xfId="2" applyFont="1" applyFill="1" applyBorder="1" applyAlignment="1">
      <alignment horizontal="center" vertical="center"/>
    </xf>
    <xf numFmtId="0" fontId="5" fillId="3" borderId="25" xfId="2" applyFill="1" applyBorder="1" applyAlignment="1">
      <alignment horizontal="center" vertical="center"/>
    </xf>
    <xf numFmtId="0" fontId="5" fillId="3" borderId="27" xfId="2" applyFill="1" applyBorder="1" applyAlignment="1">
      <alignment horizontal="center" vertical="center"/>
    </xf>
    <xf numFmtId="0" fontId="5" fillId="3" borderId="19" xfId="2" applyFill="1" applyBorder="1" applyAlignment="1">
      <alignment horizontal="center" vertical="center"/>
    </xf>
    <xf numFmtId="0" fontId="0" fillId="7" borderId="32" xfId="0" applyFill="1" applyBorder="1" applyAlignment="1">
      <alignment horizontal="left"/>
    </xf>
    <xf numFmtId="0" fontId="0" fillId="7" borderId="20" xfId="0" applyFill="1" applyBorder="1" applyAlignment="1">
      <alignment horizontal="left"/>
    </xf>
    <xf numFmtId="0" fontId="0" fillId="7" borderId="33" xfId="0" applyFill="1" applyBorder="1" applyAlignment="1">
      <alignment horizontal="left"/>
    </xf>
    <xf numFmtId="0" fontId="5" fillId="3" borderId="21" xfId="2" applyFill="1" applyBorder="1" applyAlignment="1">
      <alignment horizontal="center"/>
    </xf>
    <xf numFmtId="0" fontId="5" fillId="3" borderId="26" xfId="2" applyFill="1" applyBorder="1" applyAlignment="1">
      <alignment horizontal="center"/>
    </xf>
    <xf numFmtId="0" fontId="5" fillId="3" borderId="22" xfId="2" applyFill="1" applyBorder="1" applyAlignment="1">
      <alignment horizontal="center"/>
    </xf>
    <xf numFmtId="0" fontId="5" fillId="3" borderId="25" xfId="2" applyFill="1" applyBorder="1" applyAlignment="1">
      <alignment horizontal="center"/>
    </xf>
    <xf numFmtId="0" fontId="5" fillId="3" borderId="27" xfId="2" applyFill="1" applyBorder="1" applyAlignment="1">
      <alignment horizontal="center"/>
    </xf>
    <xf numFmtId="0" fontId="5" fillId="3" borderId="19" xfId="2" applyFill="1" applyBorder="1" applyAlignment="1">
      <alignment horizontal="center"/>
    </xf>
    <xf numFmtId="0" fontId="5" fillId="3" borderId="16" xfId="2" applyFont="1" applyFill="1" applyBorder="1" applyAlignment="1">
      <alignment horizontal="center"/>
    </xf>
    <xf numFmtId="0" fontId="5" fillId="3" borderId="17" xfId="2" applyFont="1" applyFill="1" applyBorder="1" applyAlignment="1">
      <alignment horizontal="center"/>
    </xf>
    <xf numFmtId="0" fontId="5" fillId="3" borderId="18" xfId="2" applyFont="1" applyFill="1" applyBorder="1" applyAlignment="1">
      <alignment horizontal="center"/>
    </xf>
    <xf numFmtId="0" fontId="5" fillId="3" borderId="16" xfId="2" applyFill="1" applyBorder="1" applyAlignment="1">
      <alignment horizontal="center"/>
    </xf>
    <xf numFmtId="0" fontId="5" fillId="3" borderId="17" xfId="2" applyFill="1" applyBorder="1" applyAlignment="1">
      <alignment horizontal="center"/>
    </xf>
    <xf numFmtId="0" fontId="5" fillId="3" borderId="18" xfId="2" applyFill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/>
    <xf numFmtId="0" fontId="18" fillId="14" borderId="32" xfId="0" applyFont="1" applyFill="1" applyBorder="1" applyAlignment="1">
      <alignment horizontal="center"/>
    </xf>
    <xf numFmtId="0" fontId="18" fillId="14" borderId="20" xfId="0" applyFont="1" applyFill="1" applyBorder="1" applyAlignment="1">
      <alignment horizontal="center"/>
    </xf>
    <xf numFmtId="0" fontId="18" fillId="14" borderId="33" xfId="0" applyFont="1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0" xfId="0" applyBorder="1" applyAlignment="1">
      <alignment horizontal="right"/>
    </xf>
    <xf numFmtId="207" fontId="0" fillId="0" borderId="0" xfId="0" applyNumberFormat="1"/>
    <xf numFmtId="14" fontId="12" fillId="0" borderId="23" xfId="0" applyNumberFormat="1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</cellXfs>
  <cellStyles count="3">
    <cellStyle name="Standard" xfId="0" builtinId="0"/>
    <cellStyle name="Standard_BaaN" xfId="1" xr:uid="{00000000-0005-0000-0000-000001000000}"/>
    <cellStyle name="Standard_Tabelle2" xfId="2" xr:uid="{00000000-0005-0000-0000-000002000000}"/>
  </cellStyles>
  <dxfs count="0"/>
  <tableStyles count="0" defaultTableStyle="TableStyleMedium9" defaultPivotStyle="PivotStyleLight16"/>
  <colors>
    <mruColors>
      <color rgb="FFC4F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95250</xdr:rowOff>
    </xdr:from>
    <xdr:to>
      <xdr:col>6</xdr:col>
      <xdr:colOff>523875</xdr:colOff>
      <xdr:row>0</xdr:row>
      <xdr:rowOff>790575</xdr:rowOff>
    </xdr:to>
    <xdr:pic>
      <xdr:nvPicPr>
        <xdr:cNvPr id="1523" name="Picture 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11" t="29362" r="6541" b="11646"/>
        <a:stretch>
          <a:fillRect/>
        </a:stretch>
      </xdr:blipFill>
      <xdr:spPr bwMode="auto">
        <a:xfrm>
          <a:off x="3000375" y="95250"/>
          <a:ext cx="1647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tabSelected="1" zoomScaleNormal="100" workbookViewId="0">
      <pane ySplit="6" topLeftCell="A28" activePane="bottomLeft" state="frozen"/>
      <selection pane="bottomLeft" activeCell="D46" sqref="D46"/>
    </sheetView>
  </sheetViews>
  <sheetFormatPr baseColWidth="10" defaultColWidth="11.453125" defaultRowHeight="10.5" x14ac:dyDescent="0.25"/>
  <cols>
    <col min="1" max="1" width="4" style="3" customWidth="1"/>
    <col min="2" max="2" width="7.7265625" style="3" customWidth="1"/>
    <col min="3" max="3" width="22.26953125" style="2" customWidth="1"/>
    <col min="4" max="4" width="10.453125" style="2" customWidth="1"/>
    <col min="5" max="6" width="8.7265625" style="2" customWidth="1"/>
    <col min="7" max="7" width="11.26953125" style="2" customWidth="1"/>
    <col min="8" max="8" width="10.81640625" style="2" customWidth="1"/>
    <col min="9" max="9" width="11" style="2" customWidth="1"/>
    <col min="10" max="10" width="11.54296875" style="2" bestFit="1" customWidth="1"/>
    <col min="11" max="11" width="13" style="2" bestFit="1" customWidth="1"/>
    <col min="12" max="12" width="3.54296875" style="2" customWidth="1"/>
    <col min="13" max="16384" width="11.453125" style="2"/>
  </cols>
  <sheetData>
    <row r="1" spans="1:15" ht="69" customHeight="1" thickBot="1" x14ac:dyDescent="0.4">
      <c r="A1" s="4"/>
      <c r="B1" s="4"/>
      <c r="C1" s="32"/>
      <c r="D1" s="5"/>
      <c r="E1" s="5"/>
      <c r="F1" s="5"/>
      <c r="G1" s="5"/>
      <c r="H1" s="5"/>
      <c r="I1" s="5"/>
      <c r="J1" s="5"/>
      <c r="K1" s="5"/>
      <c r="L1" s="5"/>
    </row>
    <row r="2" spans="1:15" ht="14.5" x14ac:dyDescent="0.35">
      <c r="A2" s="12" t="s">
        <v>21</v>
      </c>
      <c r="B2" s="23"/>
      <c r="C2" s="16"/>
      <c r="D2" s="33" t="s">
        <v>33</v>
      </c>
      <c r="E2" s="16"/>
      <c r="F2" s="16"/>
      <c r="G2" s="16"/>
      <c r="H2" s="16"/>
      <c r="I2" s="16"/>
      <c r="J2" s="16"/>
      <c r="K2" s="17"/>
      <c r="L2" s="5"/>
    </row>
    <row r="3" spans="1:15" ht="22.5" customHeight="1" x14ac:dyDescent="0.35">
      <c r="A3" s="24" t="s">
        <v>19</v>
      </c>
      <c r="B3" s="15"/>
      <c r="C3" s="15" t="s">
        <v>564</v>
      </c>
      <c r="D3" s="514">
        <v>44322</v>
      </c>
      <c r="E3" s="15"/>
      <c r="F3" s="15"/>
      <c r="G3" s="15"/>
      <c r="H3" s="21"/>
      <c r="I3" s="21"/>
      <c r="J3" s="5"/>
      <c r="K3" s="25"/>
      <c r="L3" s="5"/>
    </row>
    <row r="4" spans="1:15" ht="22.5" customHeight="1" thickBot="1" x14ac:dyDescent="0.4">
      <c r="A4" s="13" t="s">
        <v>18</v>
      </c>
      <c r="B4" s="14"/>
      <c r="C4" s="14"/>
      <c r="D4" s="14"/>
      <c r="E4" s="14"/>
      <c r="F4" s="14"/>
      <c r="G4" s="14"/>
      <c r="H4" s="22"/>
      <c r="I4" s="26"/>
      <c r="J4" s="6"/>
      <c r="K4" s="27"/>
      <c r="L4" s="5"/>
    </row>
    <row r="5" spans="1:15" ht="12.75" customHeight="1" thickBot="1" x14ac:dyDescent="0.35">
      <c r="A5" s="436" t="s">
        <v>215</v>
      </c>
      <c r="B5" s="437"/>
      <c r="C5" s="438"/>
      <c r="D5" s="433" t="s">
        <v>40</v>
      </c>
      <c r="E5" s="434"/>
      <c r="F5" s="435"/>
      <c r="G5" s="433" t="s">
        <v>41</v>
      </c>
      <c r="H5" s="434"/>
      <c r="I5" s="435"/>
      <c r="J5" s="82" t="s">
        <v>44</v>
      </c>
      <c r="K5" s="232">
        <v>0</v>
      </c>
      <c r="L5" s="87"/>
      <c r="M5" s="429" t="s">
        <v>484</v>
      </c>
      <c r="N5" s="430"/>
    </row>
    <row r="6" spans="1:15" s="1" customFormat="1" ht="26.25" customHeight="1" thickBot="1" x14ac:dyDescent="0.35">
      <c r="A6" s="10" t="s">
        <v>38</v>
      </c>
      <c r="B6" s="431" t="s">
        <v>39</v>
      </c>
      <c r="C6" s="432"/>
      <c r="D6" s="18" t="s">
        <v>150</v>
      </c>
      <c r="E6" s="19" t="s">
        <v>42</v>
      </c>
      <c r="F6" s="19" t="s">
        <v>43</v>
      </c>
      <c r="G6" s="19" t="s">
        <v>107</v>
      </c>
      <c r="H6" s="19" t="s">
        <v>106</v>
      </c>
      <c r="I6" s="20" t="s">
        <v>10</v>
      </c>
      <c r="J6" s="28" t="s">
        <v>45</v>
      </c>
      <c r="K6" s="28" t="s">
        <v>46</v>
      </c>
      <c r="L6" s="89"/>
      <c r="M6" s="439" t="s">
        <v>273</v>
      </c>
      <c r="N6" s="430"/>
      <c r="O6" s="186" t="str">
        <f>D2</f>
        <v>Datum</v>
      </c>
    </row>
    <row r="7" spans="1:15" ht="12.5" thickBot="1" x14ac:dyDescent="0.35">
      <c r="A7" s="10">
        <v>1</v>
      </c>
      <c r="B7" s="426" t="str">
        <f>'AP und Sort'!G1</f>
        <v>AP und Sort</v>
      </c>
      <c r="C7" s="427"/>
      <c r="D7" s="165">
        <f>'AP und Sort'!K41</f>
        <v>86837.400000000009</v>
      </c>
      <c r="E7" s="165">
        <f>'AP und Sort'!L41</f>
        <v>632.91666666666663</v>
      </c>
      <c r="F7" s="165">
        <f>'AP und Sort'!M41</f>
        <v>19620.416666666664</v>
      </c>
      <c r="G7" s="165">
        <f>'AP und Sort'!K42</f>
        <v>173674.80000000002</v>
      </c>
      <c r="H7" s="165">
        <f>'AP und Sort'!M42</f>
        <v>39240.833333333328</v>
      </c>
      <c r="I7" s="165">
        <f>'AP und Sort'!N43</f>
        <v>213000</v>
      </c>
      <c r="J7" s="165">
        <f>I7/100*Tabellen!X3</f>
        <v>0</v>
      </c>
      <c r="K7" s="166">
        <f>ROUNDUP(I7+J7,-2)</f>
        <v>213000</v>
      </c>
      <c r="L7" s="88"/>
      <c r="M7" s="199">
        <v>0</v>
      </c>
    </row>
    <row r="8" spans="1:15" ht="12.5" thickBot="1" x14ac:dyDescent="0.35">
      <c r="A8" s="10">
        <f>A7+1</f>
        <v>2</v>
      </c>
      <c r="B8" s="426" t="str">
        <f>Puffer!G1</f>
        <v>Puffer</v>
      </c>
      <c r="C8" s="427"/>
      <c r="D8" s="165">
        <f>Puffer!K41</f>
        <v>255635.00000000006</v>
      </c>
      <c r="E8" s="165">
        <f>Puffer!L41</f>
        <v>2047.5</v>
      </c>
      <c r="F8" s="165">
        <f>Puffer!M41</f>
        <v>63472.5</v>
      </c>
      <c r="G8" s="165">
        <f>Puffer!K42</f>
        <v>511270.00000000012</v>
      </c>
      <c r="H8" s="165">
        <f>Puffer!M42</f>
        <v>126945</v>
      </c>
      <c r="I8" s="165">
        <f>Puffer!N43</f>
        <v>639000</v>
      </c>
      <c r="J8" s="165">
        <f>I8/100*Tabellen!X4</f>
        <v>0</v>
      </c>
      <c r="K8" s="166">
        <f t="shared" ref="K8:K33" si="0">ROUNDUP(I8+J8,-2)</f>
        <v>639000</v>
      </c>
      <c r="L8" s="88"/>
      <c r="M8" s="199">
        <v>0</v>
      </c>
    </row>
    <row r="9" spans="1:15" ht="12.5" thickBot="1" x14ac:dyDescent="0.35">
      <c r="A9" s="10">
        <f t="shared" ref="A9:A40" si="1">A8+1</f>
        <v>3</v>
      </c>
      <c r="B9" s="426">
        <f>'3'!G1</f>
        <v>0</v>
      </c>
      <c r="C9" s="427"/>
      <c r="D9" s="165">
        <f>'3'!K41</f>
        <v>0</v>
      </c>
      <c r="E9" s="165">
        <f>'3'!L41</f>
        <v>0</v>
      </c>
      <c r="F9" s="165">
        <f>'3'!M41</f>
        <v>0</v>
      </c>
      <c r="G9" s="165">
        <f>'3'!K42</f>
        <v>0</v>
      </c>
      <c r="H9" s="165">
        <f>'3'!M42</f>
        <v>0</v>
      </c>
      <c r="I9" s="165">
        <f>'3'!N43</f>
        <v>0</v>
      </c>
      <c r="J9" s="165">
        <f>I9/100*Tabellen!X5</f>
        <v>0</v>
      </c>
      <c r="K9" s="166">
        <f t="shared" si="0"/>
        <v>0</v>
      </c>
      <c r="L9" s="88"/>
      <c r="M9" s="199">
        <v>0</v>
      </c>
    </row>
    <row r="10" spans="1:15" ht="12.5" thickBot="1" x14ac:dyDescent="0.35">
      <c r="A10" s="10">
        <f t="shared" si="1"/>
        <v>4</v>
      </c>
      <c r="B10" s="426">
        <f>'4'!G1</f>
        <v>0</v>
      </c>
      <c r="C10" s="427"/>
      <c r="D10" s="165">
        <f>'4'!K41</f>
        <v>0</v>
      </c>
      <c r="E10" s="165">
        <f>'4'!L41</f>
        <v>0</v>
      </c>
      <c r="F10" s="165">
        <f>'4'!M41</f>
        <v>0</v>
      </c>
      <c r="G10" s="165">
        <f>'4'!K42</f>
        <v>0</v>
      </c>
      <c r="H10" s="165">
        <f>'4'!M42</f>
        <v>0</v>
      </c>
      <c r="I10" s="165">
        <f>'4'!N43</f>
        <v>0</v>
      </c>
      <c r="J10" s="165">
        <f>I10/100*Tabellen!X6</f>
        <v>0</v>
      </c>
      <c r="K10" s="166">
        <f t="shared" si="0"/>
        <v>0</v>
      </c>
      <c r="L10" s="88"/>
      <c r="M10" s="199">
        <v>0</v>
      </c>
    </row>
    <row r="11" spans="1:15" ht="12.5" thickBot="1" x14ac:dyDescent="0.35">
      <c r="A11" s="10">
        <f t="shared" si="1"/>
        <v>5</v>
      </c>
      <c r="B11" s="426">
        <f>'5'!G1</f>
        <v>0</v>
      </c>
      <c r="C11" s="427"/>
      <c r="D11" s="165">
        <f>'5'!K41</f>
        <v>0</v>
      </c>
      <c r="E11" s="165">
        <f>'5'!L41</f>
        <v>0</v>
      </c>
      <c r="F11" s="165">
        <f>'5'!M41</f>
        <v>0</v>
      </c>
      <c r="G11" s="165">
        <f>'5'!K42</f>
        <v>0</v>
      </c>
      <c r="H11" s="165">
        <f>'5'!M42</f>
        <v>0</v>
      </c>
      <c r="I11" s="165">
        <f>'5'!N43</f>
        <v>0</v>
      </c>
      <c r="J11" s="165">
        <f>I11/100*Tabellen!X7</f>
        <v>0</v>
      </c>
      <c r="K11" s="166">
        <f t="shared" si="0"/>
        <v>0</v>
      </c>
      <c r="M11" s="199">
        <v>0</v>
      </c>
    </row>
    <row r="12" spans="1:15" ht="12.5" thickBot="1" x14ac:dyDescent="0.35">
      <c r="A12" s="10">
        <f t="shared" si="1"/>
        <v>6</v>
      </c>
      <c r="B12" s="426">
        <f>'6'!G1</f>
        <v>0</v>
      </c>
      <c r="C12" s="427"/>
      <c r="D12" s="165">
        <f>'6'!K41</f>
        <v>0</v>
      </c>
      <c r="E12" s="165">
        <f>'6'!L41</f>
        <v>0</v>
      </c>
      <c r="F12" s="165">
        <f>'6'!M41</f>
        <v>0</v>
      </c>
      <c r="G12" s="165">
        <f>'6'!K42</f>
        <v>0</v>
      </c>
      <c r="H12" s="165">
        <f>'6'!M42</f>
        <v>0</v>
      </c>
      <c r="I12" s="165">
        <f>'6'!N43</f>
        <v>0</v>
      </c>
      <c r="J12" s="165">
        <f>I12/100*Tabellen!X8</f>
        <v>0</v>
      </c>
      <c r="K12" s="166">
        <f t="shared" si="0"/>
        <v>0</v>
      </c>
      <c r="M12" s="199">
        <v>0</v>
      </c>
    </row>
    <row r="13" spans="1:15" ht="12.5" thickBot="1" x14ac:dyDescent="0.35">
      <c r="A13" s="10">
        <f t="shared" si="1"/>
        <v>7</v>
      </c>
      <c r="B13" s="426">
        <f>'7'!G1</f>
        <v>0</v>
      </c>
      <c r="C13" s="427"/>
      <c r="D13" s="165">
        <f>'7'!K41</f>
        <v>0</v>
      </c>
      <c r="E13" s="165">
        <f>'7'!L41</f>
        <v>0</v>
      </c>
      <c r="F13" s="165">
        <f>'7'!M41</f>
        <v>0</v>
      </c>
      <c r="G13" s="165">
        <f>'7'!K42</f>
        <v>0</v>
      </c>
      <c r="H13" s="165">
        <f>'7'!M42</f>
        <v>0</v>
      </c>
      <c r="I13" s="165">
        <f>'7'!N43</f>
        <v>0</v>
      </c>
      <c r="J13" s="165">
        <f>I13/100*Tabellen!X9</f>
        <v>0</v>
      </c>
      <c r="K13" s="166">
        <f t="shared" si="0"/>
        <v>0</v>
      </c>
      <c r="L13" s="88"/>
      <c r="M13" s="199">
        <v>0</v>
      </c>
      <c r="N13" s="5"/>
      <c r="O13" s="158"/>
    </row>
    <row r="14" spans="1:15" ht="12.5" thickBot="1" x14ac:dyDescent="0.35">
      <c r="A14" s="10">
        <f t="shared" si="1"/>
        <v>8</v>
      </c>
      <c r="B14" s="426">
        <f>'8'!G1</f>
        <v>0</v>
      </c>
      <c r="C14" s="427"/>
      <c r="D14" s="165">
        <f>'8'!K41</f>
        <v>0</v>
      </c>
      <c r="E14" s="165">
        <f>'8'!L41</f>
        <v>0</v>
      </c>
      <c r="F14" s="165">
        <f>'8'!M41</f>
        <v>0</v>
      </c>
      <c r="G14" s="165">
        <f>'8'!K42</f>
        <v>0</v>
      </c>
      <c r="H14" s="165">
        <f>'8'!M42</f>
        <v>0</v>
      </c>
      <c r="I14" s="165">
        <f>'8'!N43</f>
        <v>0</v>
      </c>
      <c r="J14" s="165">
        <f>I14/100*Tabellen!X10</f>
        <v>0</v>
      </c>
      <c r="K14" s="166">
        <f t="shared" si="0"/>
        <v>0</v>
      </c>
      <c r="L14" s="88"/>
      <c r="M14" s="199">
        <v>0</v>
      </c>
      <c r="N14" s="5"/>
      <c r="O14" s="158"/>
    </row>
    <row r="15" spans="1:15" ht="12.5" thickBot="1" x14ac:dyDescent="0.35">
      <c r="A15" s="10">
        <f t="shared" si="1"/>
        <v>9</v>
      </c>
      <c r="B15" s="426">
        <f>'9'!G1</f>
        <v>0</v>
      </c>
      <c r="C15" s="427"/>
      <c r="D15" s="165">
        <f>'9'!K41</f>
        <v>0</v>
      </c>
      <c r="E15" s="165">
        <f>'9'!L41</f>
        <v>0</v>
      </c>
      <c r="F15" s="165">
        <f>'9'!M41</f>
        <v>0</v>
      </c>
      <c r="G15" s="165">
        <f>'9'!K42</f>
        <v>0</v>
      </c>
      <c r="H15" s="165">
        <f>'9'!M42</f>
        <v>0</v>
      </c>
      <c r="I15" s="165">
        <f>'9'!N43</f>
        <v>0</v>
      </c>
      <c r="J15" s="165">
        <f>I15/100*Tabellen!X11</f>
        <v>0</v>
      </c>
      <c r="K15" s="166">
        <f t="shared" si="0"/>
        <v>0</v>
      </c>
      <c r="L15" s="88"/>
      <c r="M15" s="199">
        <v>0</v>
      </c>
      <c r="N15" s="5"/>
      <c r="O15" s="158"/>
    </row>
    <row r="16" spans="1:15" ht="12.5" thickBot="1" x14ac:dyDescent="0.35">
      <c r="A16" s="10">
        <f t="shared" si="1"/>
        <v>10</v>
      </c>
      <c r="B16" s="426">
        <f>'10'!G1</f>
        <v>0</v>
      </c>
      <c r="C16" s="427"/>
      <c r="D16" s="165">
        <f>'10'!K41</f>
        <v>0</v>
      </c>
      <c r="E16" s="165">
        <f>'10'!L41</f>
        <v>0</v>
      </c>
      <c r="F16" s="165">
        <f>'10'!M41</f>
        <v>0</v>
      </c>
      <c r="G16" s="165">
        <f>'10'!K42</f>
        <v>0</v>
      </c>
      <c r="H16" s="165">
        <f>'10'!M42</f>
        <v>0</v>
      </c>
      <c r="I16" s="165">
        <f>'10'!N43</f>
        <v>0</v>
      </c>
      <c r="J16" s="165">
        <f>I16/100*Tabellen!X12</f>
        <v>0</v>
      </c>
      <c r="K16" s="166">
        <f t="shared" si="0"/>
        <v>0</v>
      </c>
      <c r="L16" s="88"/>
      <c r="M16" s="199">
        <v>0</v>
      </c>
      <c r="N16" s="5"/>
      <c r="O16" s="158"/>
    </row>
    <row r="17" spans="1:18" ht="12.5" thickBot="1" x14ac:dyDescent="0.35">
      <c r="A17" s="10">
        <f t="shared" si="1"/>
        <v>11</v>
      </c>
      <c r="B17" s="426">
        <f>'11'!G1</f>
        <v>0</v>
      </c>
      <c r="C17" s="427"/>
      <c r="D17" s="165">
        <f>'11'!K41</f>
        <v>0</v>
      </c>
      <c r="E17" s="165">
        <f>'11'!L41</f>
        <v>0</v>
      </c>
      <c r="F17" s="165">
        <f>'11'!M41</f>
        <v>0</v>
      </c>
      <c r="G17" s="165">
        <f>'11'!K42</f>
        <v>0</v>
      </c>
      <c r="H17" s="165">
        <f>'11'!M42</f>
        <v>0</v>
      </c>
      <c r="I17" s="165">
        <f>'11'!N43</f>
        <v>0</v>
      </c>
      <c r="J17" s="165">
        <f>I17/100*Tabellen!X13</f>
        <v>0</v>
      </c>
      <c r="K17" s="166">
        <f t="shared" si="0"/>
        <v>0</v>
      </c>
      <c r="L17" s="88"/>
      <c r="M17" s="199">
        <v>0</v>
      </c>
      <c r="N17" s="5"/>
      <c r="O17" s="158"/>
    </row>
    <row r="18" spans="1:18" ht="12.5" thickBot="1" x14ac:dyDescent="0.35">
      <c r="A18" s="10">
        <f t="shared" si="1"/>
        <v>12</v>
      </c>
      <c r="B18" s="426">
        <f>'12'!G1</f>
        <v>0</v>
      </c>
      <c r="C18" s="427"/>
      <c r="D18" s="165">
        <f>'12'!K41</f>
        <v>0</v>
      </c>
      <c r="E18" s="165">
        <f>'12'!L41</f>
        <v>0</v>
      </c>
      <c r="F18" s="165">
        <f>'12'!M41</f>
        <v>0</v>
      </c>
      <c r="G18" s="165">
        <f>'12'!K42</f>
        <v>0</v>
      </c>
      <c r="H18" s="165">
        <f>'12'!M42</f>
        <v>0</v>
      </c>
      <c r="I18" s="165">
        <f>'12'!N43</f>
        <v>0</v>
      </c>
      <c r="J18" s="165">
        <f>I18/100*Tabellen!X29</f>
        <v>0</v>
      </c>
      <c r="K18" s="166">
        <f t="shared" si="0"/>
        <v>0</v>
      </c>
      <c r="M18" s="199">
        <v>0</v>
      </c>
      <c r="N18" s="5"/>
      <c r="O18" s="158"/>
    </row>
    <row r="19" spans="1:18" ht="12.5" thickBot="1" x14ac:dyDescent="0.35">
      <c r="A19" s="10">
        <f t="shared" si="1"/>
        <v>13</v>
      </c>
      <c r="B19" s="426">
        <f>'13'!G1</f>
        <v>0</v>
      </c>
      <c r="C19" s="427"/>
      <c r="D19" s="165">
        <f>'13'!K41</f>
        <v>0</v>
      </c>
      <c r="E19" s="165">
        <f>'13'!L41</f>
        <v>0</v>
      </c>
      <c r="F19" s="165">
        <f>'13'!M41</f>
        <v>0</v>
      </c>
      <c r="G19" s="165">
        <f>'13'!K42</f>
        <v>0</v>
      </c>
      <c r="H19" s="165">
        <f>'13'!M42</f>
        <v>0</v>
      </c>
      <c r="I19" s="165">
        <f>'13'!N43</f>
        <v>0</v>
      </c>
      <c r="J19" s="165">
        <f>I19/100*Tabellen!X30</f>
        <v>0</v>
      </c>
      <c r="K19" s="166">
        <f t="shared" si="0"/>
        <v>0</v>
      </c>
      <c r="L19" s="88"/>
      <c r="M19" s="199">
        <v>0</v>
      </c>
      <c r="N19" s="5"/>
      <c r="O19" s="158"/>
    </row>
    <row r="20" spans="1:18" ht="12.5" thickBot="1" x14ac:dyDescent="0.35">
      <c r="A20" s="10">
        <f t="shared" si="1"/>
        <v>14</v>
      </c>
      <c r="B20" s="426">
        <f>'14'!G1</f>
        <v>0</v>
      </c>
      <c r="C20" s="427"/>
      <c r="D20" s="165">
        <f>'14'!K41</f>
        <v>0</v>
      </c>
      <c r="E20" s="165">
        <f>'14'!L41</f>
        <v>0</v>
      </c>
      <c r="F20" s="165">
        <f>'14'!M41</f>
        <v>0</v>
      </c>
      <c r="G20" s="165">
        <f>'14'!K42</f>
        <v>0</v>
      </c>
      <c r="H20" s="165">
        <f>'14'!M42</f>
        <v>0</v>
      </c>
      <c r="I20" s="165">
        <f>'14'!N43</f>
        <v>0</v>
      </c>
      <c r="J20" s="165">
        <f>I20/100*Tabellen!X31</f>
        <v>0</v>
      </c>
      <c r="K20" s="166">
        <f t="shared" si="0"/>
        <v>0</v>
      </c>
      <c r="L20" s="88"/>
      <c r="M20" s="199">
        <v>0</v>
      </c>
      <c r="N20" s="5"/>
      <c r="O20" s="158"/>
    </row>
    <row r="21" spans="1:18" ht="12.5" thickBot="1" x14ac:dyDescent="0.35">
      <c r="A21" s="10">
        <f t="shared" si="1"/>
        <v>15</v>
      </c>
      <c r="B21" s="426">
        <f>'15'!G1</f>
        <v>0</v>
      </c>
      <c r="C21" s="427"/>
      <c r="D21" s="165">
        <f>'15'!K41</f>
        <v>0</v>
      </c>
      <c r="E21" s="165">
        <f>'15'!L41</f>
        <v>0</v>
      </c>
      <c r="F21" s="165">
        <f>'15'!M41</f>
        <v>0</v>
      </c>
      <c r="G21" s="165">
        <f>'15'!K42</f>
        <v>0</v>
      </c>
      <c r="H21" s="165">
        <f>'15'!M42</f>
        <v>0</v>
      </c>
      <c r="I21" s="165">
        <f>'15'!N43</f>
        <v>0</v>
      </c>
      <c r="J21" s="165">
        <f>I21/100*Tabellen!X32</f>
        <v>0</v>
      </c>
      <c r="K21" s="166">
        <f t="shared" si="0"/>
        <v>0</v>
      </c>
      <c r="L21" s="88"/>
      <c r="M21" s="199">
        <v>0</v>
      </c>
      <c r="N21" s="5"/>
      <c r="O21" s="158"/>
    </row>
    <row r="22" spans="1:18" ht="12.5" thickBot="1" x14ac:dyDescent="0.35">
      <c r="A22" s="10">
        <f t="shared" si="1"/>
        <v>16</v>
      </c>
      <c r="B22" s="426">
        <f>'16'!G1</f>
        <v>0</v>
      </c>
      <c r="C22" s="427"/>
      <c r="D22" s="165">
        <f>'16'!K41</f>
        <v>0</v>
      </c>
      <c r="E22" s="165">
        <f>'16'!L41</f>
        <v>0</v>
      </c>
      <c r="F22" s="165">
        <f>'16'!M41</f>
        <v>0</v>
      </c>
      <c r="G22" s="165">
        <f>'16'!K42</f>
        <v>0</v>
      </c>
      <c r="H22" s="165">
        <f>'16'!M42</f>
        <v>0</v>
      </c>
      <c r="I22" s="165">
        <f>'16'!N43</f>
        <v>0</v>
      </c>
      <c r="J22" s="165">
        <f>I22/100*Tabellen!X33</f>
        <v>0</v>
      </c>
      <c r="K22" s="166">
        <f t="shared" si="0"/>
        <v>0</v>
      </c>
      <c r="L22" s="88"/>
      <c r="M22" s="199">
        <v>0</v>
      </c>
      <c r="N22" s="5"/>
      <c r="O22" s="158"/>
    </row>
    <row r="23" spans="1:18" ht="12.5" thickBot="1" x14ac:dyDescent="0.35">
      <c r="A23" s="10">
        <f t="shared" si="1"/>
        <v>17</v>
      </c>
      <c r="B23" s="426">
        <f>'17'!G1</f>
        <v>0</v>
      </c>
      <c r="C23" s="427"/>
      <c r="D23" s="165">
        <f>'17'!K41</f>
        <v>0</v>
      </c>
      <c r="E23" s="165">
        <f>'17'!L41</f>
        <v>0</v>
      </c>
      <c r="F23" s="165">
        <f>'17'!M41</f>
        <v>0</v>
      </c>
      <c r="G23" s="165">
        <f>'17'!K42</f>
        <v>0</v>
      </c>
      <c r="H23" s="165">
        <f>'17'!M42</f>
        <v>0</v>
      </c>
      <c r="I23" s="165">
        <f>'17'!N43</f>
        <v>0</v>
      </c>
      <c r="J23" s="165">
        <f>I23/100*Tabellen!X34</f>
        <v>0</v>
      </c>
      <c r="K23" s="166">
        <f t="shared" si="0"/>
        <v>0</v>
      </c>
      <c r="L23" s="88"/>
      <c r="M23" s="199">
        <v>0</v>
      </c>
      <c r="N23" s="5"/>
      <c r="O23" s="158"/>
    </row>
    <row r="24" spans="1:18" ht="12.5" thickBot="1" x14ac:dyDescent="0.35">
      <c r="A24" s="10">
        <f t="shared" si="1"/>
        <v>18</v>
      </c>
      <c r="B24" s="426">
        <f>'18'!G1</f>
        <v>0</v>
      </c>
      <c r="C24" s="427"/>
      <c r="D24" s="165">
        <f>'18'!K41</f>
        <v>0</v>
      </c>
      <c r="E24" s="165">
        <f>'18'!L41</f>
        <v>0</v>
      </c>
      <c r="F24" s="165">
        <f>'18'!M41</f>
        <v>0</v>
      </c>
      <c r="G24" s="165">
        <f>'18'!K42</f>
        <v>0</v>
      </c>
      <c r="H24" s="165">
        <f>'18'!M42</f>
        <v>0</v>
      </c>
      <c r="I24" s="165">
        <f>'18'!N43</f>
        <v>0</v>
      </c>
      <c r="J24" s="165">
        <f>I24/100*Tabellen!X35</f>
        <v>0</v>
      </c>
      <c r="K24" s="166">
        <f t="shared" si="0"/>
        <v>0</v>
      </c>
      <c r="L24" s="88"/>
      <c r="M24" s="199">
        <v>0</v>
      </c>
      <c r="N24" s="5"/>
      <c r="O24" s="158"/>
    </row>
    <row r="25" spans="1:18" ht="12.5" thickBot="1" x14ac:dyDescent="0.35">
      <c r="A25" s="10">
        <f t="shared" si="1"/>
        <v>19</v>
      </c>
      <c r="B25" s="426">
        <f>'19'!G1</f>
        <v>0</v>
      </c>
      <c r="C25" s="427"/>
      <c r="D25" s="165">
        <f>'19'!K41</f>
        <v>0</v>
      </c>
      <c r="E25" s="165">
        <f>'19'!L41</f>
        <v>0</v>
      </c>
      <c r="F25" s="165">
        <f>'19'!M41</f>
        <v>0</v>
      </c>
      <c r="G25" s="165">
        <f>'19'!K42</f>
        <v>0</v>
      </c>
      <c r="H25" s="165">
        <f>'19'!M42</f>
        <v>0</v>
      </c>
      <c r="I25" s="165">
        <f>'19'!N43</f>
        <v>0</v>
      </c>
      <c r="J25" s="165">
        <f>I25/100*Tabellen!X36</f>
        <v>0</v>
      </c>
      <c r="K25" s="166">
        <f t="shared" si="0"/>
        <v>0</v>
      </c>
      <c r="L25" s="88"/>
      <c r="M25" s="199">
        <v>0</v>
      </c>
      <c r="N25" s="5"/>
      <c r="O25" s="158"/>
    </row>
    <row r="26" spans="1:18" ht="12.5" thickBot="1" x14ac:dyDescent="0.35">
      <c r="A26" s="10">
        <f t="shared" si="1"/>
        <v>20</v>
      </c>
      <c r="B26" s="426">
        <f>'20'!G1</f>
        <v>0</v>
      </c>
      <c r="C26" s="427"/>
      <c r="D26" s="165">
        <f>'20'!K41</f>
        <v>0</v>
      </c>
      <c r="E26" s="165">
        <f>'20'!L41</f>
        <v>0</v>
      </c>
      <c r="F26" s="165">
        <f>'20'!M41</f>
        <v>0</v>
      </c>
      <c r="G26" s="165">
        <f>'20'!K42</f>
        <v>0</v>
      </c>
      <c r="H26" s="165">
        <f>'20'!M42</f>
        <v>0</v>
      </c>
      <c r="I26" s="165">
        <f>'20'!N43</f>
        <v>0</v>
      </c>
      <c r="J26" s="165">
        <f>I26/100*Tabellen!X37</f>
        <v>0</v>
      </c>
      <c r="K26" s="166">
        <f t="shared" si="0"/>
        <v>0</v>
      </c>
      <c r="L26" s="88"/>
      <c r="M26" s="199">
        <v>0</v>
      </c>
      <c r="N26" s="5"/>
      <c r="O26" s="158"/>
    </row>
    <row r="27" spans="1:18" ht="12.5" thickBot="1" x14ac:dyDescent="0.35">
      <c r="A27" s="10">
        <f t="shared" si="1"/>
        <v>21</v>
      </c>
      <c r="B27" s="426">
        <f>'21'!G1</f>
        <v>0</v>
      </c>
      <c r="C27" s="427"/>
      <c r="D27" s="165">
        <f>'21'!K41</f>
        <v>0</v>
      </c>
      <c r="E27" s="165">
        <f>'21'!L41</f>
        <v>0</v>
      </c>
      <c r="F27" s="165">
        <f>'21'!M41</f>
        <v>0</v>
      </c>
      <c r="G27" s="165">
        <f>'21'!K42</f>
        <v>0</v>
      </c>
      <c r="H27" s="165">
        <f>'21'!M42</f>
        <v>0</v>
      </c>
      <c r="I27" s="165">
        <f>'21'!N43</f>
        <v>0</v>
      </c>
      <c r="J27" s="165">
        <f>I27/100*Tabellen!X38</f>
        <v>0</v>
      </c>
      <c r="K27" s="166">
        <f t="shared" si="0"/>
        <v>0</v>
      </c>
      <c r="L27" s="88"/>
      <c r="M27" s="199">
        <v>0</v>
      </c>
      <c r="N27" s="5"/>
      <c r="O27" s="158"/>
    </row>
    <row r="28" spans="1:18" ht="12.5" thickBot="1" x14ac:dyDescent="0.35">
      <c r="A28" s="10">
        <f t="shared" si="1"/>
        <v>22</v>
      </c>
      <c r="B28" s="426">
        <f>'22'!G1</f>
        <v>0</v>
      </c>
      <c r="C28" s="427"/>
      <c r="D28" s="165">
        <f>'22'!K41</f>
        <v>0</v>
      </c>
      <c r="E28" s="165">
        <f>'22'!L41</f>
        <v>0</v>
      </c>
      <c r="F28" s="165">
        <f>'22'!M41</f>
        <v>0</v>
      </c>
      <c r="G28" s="165">
        <f>'22'!K42</f>
        <v>0</v>
      </c>
      <c r="H28" s="165">
        <f>'22'!M42</f>
        <v>0</v>
      </c>
      <c r="I28" s="165">
        <f>'22'!N43</f>
        <v>0</v>
      </c>
      <c r="J28" s="165">
        <f>I28/100*Tabellen!X39</f>
        <v>0</v>
      </c>
      <c r="K28" s="166">
        <f t="shared" si="0"/>
        <v>0</v>
      </c>
      <c r="L28" s="88"/>
      <c r="M28" s="199">
        <v>0</v>
      </c>
      <c r="N28" s="5"/>
      <c r="O28" s="158"/>
    </row>
    <row r="29" spans="1:18" ht="12.5" thickBot="1" x14ac:dyDescent="0.35">
      <c r="A29" s="10">
        <f t="shared" si="1"/>
        <v>23</v>
      </c>
      <c r="B29" s="426">
        <f>'23'!G1</f>
        <v>0</v>
      </c>
      <c r="C29" s="427"/>
      <c r="D29" s="165">
        <f>'23'!K41</f>
        <v>0</v>
      </c>
      <c r="E29" s="165">
        <f>'23'!L41</f>
        <v>0</v>
      </c>
      <c r="F29" s="165">
        <f>'23'!M41</f>
        <v>0</v>
      </c>
      <c r="G29" s="165">
        <f>'23'!K42</f>
        <v>0</v>
      </c>
      <c r="H29" s="165">
        <f>'23'!M42</f>
        <v>0</v>
      </c>
      <c r="I29" s="165">
        <f>'23'!N43</f>
        <v>0</v>
      </c>
      <c r="J29" s="165">
        <f>I29/100*Tabellen!X40</f>
        <v>0</v>
      </c>
      <c r="K29" s="166">
        <f t="shared" si="0"/>
        <v>0</v>
      </c>
      <c r="L29" s="88"/>
      <c r="M29" s="199">
        <v>0</v>
      </c>
      <c r="N29" s="5"/>
      <c r="O29" s="158"/>
    </row>
    <row r="30" spans="1:18" ht="12.5" thickBot="1" x14ac:dyDescent="0.35">
      <c r="A30" s="10">
        <f t="shared" si="1"/>
        <v>24</v>
      </c>
      <c r="B30" s="426">
        <f>'24'!G1</f>
        <v>0</v>
      </c>
      <c r="C30" s="427"/>
      <c r="D30" s="165">
        <f>'24'!K41</f>
        <v>0</v>
      </c>
      <c r="E30" s="165">
        <f>'24'!L41</f>
        <v>0</v>
      </c>
      <c r="F30" s="165">
        <f>'24'!M41</f>
        <v>0</v>
      </c>
      <c r="G30" s="165">
        <f>'24'!K42</f>
        <v>0</v>
      </c>
      <c r="H30" s="165">
        <f>'24'!M42</f>
        <v>0</v>
      </c>
      <c r="I30" s="165">
        <f>'24'!N43</f>
        <v>0</v>
      </c>
      <c r="J30" s="165">
        <f>I30/100*Tabellen!X41</f>
        <v>0</v>
      </c>
      <c r="K30" s="166">
        <f t="shared" si="0"/>
        <v>0</v>
      </c>
      <c r="L30" s="88"/>
      <c r="M30" s="199">
        <v>0</v>
      </c>
      <c r="N30" s="5"/>
      <c r="O30" s="158"/>
    </row>
    <row r="31" spans="1:18" ht="12.5" thickBot="1" x14ac:dyDescent="0.35">
      <c r="A31" s="10">
        <f t="shared" si="1"/>
        <v>25</v>
      </c>
      <c r="B31" s="426">
        <f>'25'!G1</f>
        <v>0</v>
      </c>
      <c r="C31" s="427"/>
      <c r="D31" s="165">
        <f>'25'!K41</f>
        <v>0</v>
      </c>
      <c r="E31" s="165">
        <f>'25'!L41</f>
        <v>0</v>
      </c>
      <c r="F31" s="165">
        <f>'25'!M41</f>
        <v>0</v>
      </c>
      <c r="G31" s="165">
        <f>'25'!K42</f>
        <v>0</v>
      </c>
      <c r="H31" s="165">
        <f>'25'!M42</f>
        <v>0</v>
      </c>
      <c r="I31" s="165">
        <f>'25'!N43</f>
        <v>0</v>
      </c>
      <c r="J31" s="165">
        <f>I31/100*Tabellen!X42</f>
        <v>0</v>
      </c>
      <c r="K31" s="166">
        <f t="shared" si="0"/>
        <v>0</v>
      </c>
      <c r="L31" s="88"/>
      <c r="M31" s="199">
        <v>0</v>
      </c>
      <c r="N31" s="5"/>
      <c r="O31" s="158"/>
    </row>
    <row r="32" spans="1:18" ht="12.5" thickBot="1" x14ac:dyDescent="0.35">
      <c r="A32" s="34" t="s">
        <v>457</v>
      </c>
      <c r="B32" s="440">
        <f>Taschen!Q6+Taschen!Q7+Taschen!Q9</f>
        <v>0</v>
      </c>
      <c r="C32" s="441"/>
      <c r="D32" s="165">
        <f>Taschen!T18</f>
        <v>0</v>
      </c>
      <c r="E32" s="165">
        <f>Taschen!V18</f>
        <v>0</v>
      </c>
      <c r="F32" s="165">
        <f>Taschen!W18</f>
        <v>0</v>
      </c>
      <c r="G32" s="165">
        <f>D32*'AP und Sort'!I42</f>
        <v>0</v>
      </c>
      <c r="H32" s="165">
        <f>F32*'AP und Sort'!I42</f>
        <v>0</v>
      </c>
      <c r="I32" s="165">
        <f>G32+H32</f>
        <v>0</v>
      </c>
      <c r="J32" s="165">
        <f>I32/100*Tabellen!X29</f>
        <v>0</v>
      </c>
      <c r="K32" s="166">
        <f t="shared" ref="K32" si="2">ROUNDUP(I32+J32,-2)</f>
        <v>0</v>
      </c>
      <c r="L32" s="88"/>
      <c r="M32" s="199">
        <v>0</v>
      </c>
      <c r="N32" s="5"/>
      <c r="O32" s="158"/>
      <c r="R32" s="2" t="s">
        <v>472</v>
      </c>
    </row>
    <row r="33" spans="1:19" ht="12.5" thickBot="1" x14ac:dyDescent="0.35">
      <c r="A33" s="34" t="s">
        <v>458</v>
      </c>
      <c r="B33" s="426" t="s">
        <v>224</v>
      </c>
      <c r="C33" s="427"/>
      <c r="D33" s="165">
        <f>Taschen!B12*Taschen!J34</f>
        <v>0</v>
      </c>
      <c r="E33" s="165">
        <f>Taschen!B12*Taschen!K34</f>
        <v>0</v>
      </c>
      <c r="F33" s="165">
        <f>Taschen!B12*Taschen!L34</f>
        <v>0</v>
      </c>
      <c r="G33" s="165">
        <f>D33*'AP und Sort'!I42</f>
        <v>0</v>
      </c>
      <c r="H33" s="165">
        <f>F33*'AP und Sort'!I42</f>
        <v>0</v>
      </c>
      <c r="I33" s="165">
        <f>G33+H33</f>
        <v>0</v>
      </c>
      <c r="J33" s="165">
        <f>I33/100*Tabellen!X30</f>
        <v>0</v>
      </c>
      <c r="K33" s="166">
        <f t="shared" si="0"/>
        <v>0</v>
      </c>
      <c r="L33" s="88"/>
      <c r="M33" s="199">
        <v>0</v>
      </c>
      <c r="N33" s="5"/>
      <c r="O33" s="158"/>
      <c r="R33" s="2" t="s">
        <v>473</v>
      </c>
      <c r="S33" s="2" t="s">
        <v>474</v>
      </c>
    </row>
    <row r="34" spans="1:19" ht="12.5" thickBot="1" x14ac:dyDescent="0.35">
      <c r="A34" s="10">
        <v>27</v>
      </c>
      <c r="B34" s="426" t="s">
        <v>231</v>
      </c>
      <c r="C34" s="427"/>
      <c r="D34" s="187">
        <f>SUM(D7:D33)</f>
        <v>342472.40000000008</v>
      </c>
      <c r="E34" s="187">
        <f>SUM(E7:E33)</f>
        <v>2680.4166666666665</v>
      </c>
      <c r="F34" s="187">
        <f t="shared" ref="F34:K34" si="3">SUM(F7:F33)</f>
        <v>83092.916666666657</v>
      </c>
      <c r="G34" s="187">
        <f t="shared" si="3"/>
        <v>684944.80000000016</v>
      </c>
      <c r="H34" s="187">
        <f t="shared" si="3"/>
        <v>166185.83333333331</v>
      </c>
      <c r="I34" s="187">
        <f t="shared" si="3"/>
        <v>852000</v>
      </c>
      <c r="J34" s="187">
        <f t="shared" si="3"/>
        <v>0</v>
      </c>
      <c r="K34" s="198">
        <f t="shared" si="3"/>
        <v>852000</v>
      </c>
      <c r="L34" s="88"/>
      <c r="M34" s="83" t="s">
        <v>61</v>
      </c>
      <c r="N34" s="84">
        <f>SUM(M7:M33)</f>
        <v>0</v>
      </c>
      <c r="S34" s="2" t="s">
        <v>479</v>
      </c>
    </row>
    <row r="35" spans="1:19" ht="12.5" thickBot="1" x14ac:dyDescent="0.35">
      <c r="A35" s="10">
        <f t="shared" si="1"/>
        <v>28</v>
      </c>
      <c r="B35" s="424" t="s">
        <v>499</v>
      </c>
      <c r="C35" s="428"/>
      <c r="D35" s="165">
        <f>Steuerg!W66*Steuerg!N74</f>
        <v>0</v>
      </c>
      <c r="G35" s="165">
        <f>Steuerg!W66*Steuerg!P74</f>
        <v>0</v>
      </c>
      <c r="I35" s="165">
        <f>ROUNDUP(G35,0)</f>
        <v>0</v>
      </c>
      <c r="J35" s="165">
        <f>I35/100*Tabellen!X35</f>
        <v>0</v>
      </c>
      <c r="K35" s="166">
        <f>ROUNDUP(I35+J35,-3)</f>
        <v>0</v>
      </c>
      <c r="L35" s="88"/>
      <c r="M35" s="199">
        <v>0</v>
      </c>
      <c r="R35" s="2" t="s">
        <v>470</v>
      </c>
      <c r="S35" s="2" t="s">
        <v>471</v>
      </c>
    </row>
    <row r="36" spans="1:19" ht="12.5" thickBot="1" x14ac:dyDescent="0.35">
      <c r="A36" s="10">
        <f t="shared" si="1"/>
        <v>29</v>
      </c>
      <c r="B36" s="424" t="s">
        <v>371</v>
      </c>
      <c r="C36" s="428"/>
      <c r="E36" s="165">
        <f>Steuerg!G77</f>
        <v>1093.5</v>
      </c>
      <c r="F36" s="165">
        <f>Steuerg!N77</f>
        <v>33898.5</v>
      </c>
      <c r="H36" s="165">
        <f>Steuerg!P77</f>
        <v>67797</v>
      </c>
      <c r="I36" s="165">
        <f>ROUNDUP(H36,0)</f>
        <v>67797</v>
      </c>
      <c r="J36" s="165">
        <f>I36/100*Tabellen!X36</f>
        <v>0</v>
      </c>
      <c r="K36" s="166">
        <f>ROUNDUP(I36+J36,-3)</f>
        <v>68000</v>
      </c>
      <c r="L36" s="88"/>
      <c r="M36" s="199">
        <v>0</v>
      </c>
      <c r="S36" s="2" t="s">
        <v>488</v>
      </c>
    </row>
    <row r="37" spans="1:19" ht="12.5" thickBot="1" x14ac:dyDescent="0.35">
      <c r="A37" s="34" t="s">
        <v>370</v>
      </c>
      <c r="B37" s="424" t="s">
        <v>372</v>
      </c>
      <c r="C37" s="428"/>
      <c r="E37" s="165">
        <f>Steuerg!D81*Steuerg!S66</f>
        <v>0</v>
      </c>
      <c r="F37" s="165">
        <f>Steuerg!N81*Steuerg!S66</f>
        <v>0</v>
      </c>
      <c r="H37" s="165">
        <f>Steuerg!P81*Steuerg!S66</f>
        <v>0</v>
      </c>
      <c r="I37" s="165">
        <f>ROUNDUP(H37,0)</f>
        <v>0</v>
      </c>
      <c r="J37" s="165">
        <f>I37/100*Tabellen!X37</f>
        <v>0</v>
      </c>
      <c r="K37" s="166">
        <f>ROUNDUP(I37+J37,-3)</f>
        <v>0</v>
      </c>
      <c r="L37" s="88"/>
      <c r="M37" s="199"/>
      <c r="R37" s="2" t="s">
        <v>495</v>
      </c>
      <c r="S37" s="2" t="s">
        <v>496</v>
      </c>
    </row>
    <row r="38" spans="1:19" ht="12.5" thickBot="1" x14ac:dyDescent="0.35">
      <c r="A38" s="10">
        <f>A36+1</f>
        <v>30</v>
      </c>
      <c r="B38" s="426" t="s">
        <v>324</v>
      </c>
      <c r="C38" s="427"/>
      <c r="D38" s="165">
        <f>Mengen!H53</f>
        <v>70825.666666666657</v>
      </c>
      <c r="E38" s="165"/>
      <c r="F38" s="165"/>
      <c r="G38" s="165"/>
      <c r="H38" s="165"/>
      <c r="I38" s="165">
        <f>ROUNDUP(D38,-1)</f>
        <v>70830</v>
      </c>
      <c r="J38" s="165">
        <f>I38/100*Tabellen!X33</f>
        <v>0</v>
      </c>
      <c r="K38" s="166">
        <f>ROUNDUP(I38+J38,-3)</f>
        <v>71000</v>
      </c>
      <c r="M38" s="199">
        <v>0</v>
      </c>
    </row>
    <row r="39" spans="1:19" ht="12.5" thickBot="1" x14ac:dyDescent="0.35">
      <c r="A39" s="10">
        <f t="shared" si="1"/>
        <v>31</v>
      </c>
      <c r="B39" s="424" t="str">
        <f>Stahlbau!A2</f>
        <v>Stahlbau incl. SSG-Material</v>
      </c>
      <c r="C39" s="428"/>
      <c r="D39" s="182">
        <f>Stahlbau!B31</f>
        <v>75000</v>
      </c>
      <c r="E39" s="182" t="s">
        <v>62</v>
      </c>
      <c r="F39" s="182" t="s">
        <v>63</v>
      </c>
      <c r="G39" s="182">
        <f>Stahlbau!C31</f>
        <v>150000</v>
      </c>
      <c r="H39" s="182" t="s">
        <v>63</v>
      </c>
      <c r="I39" s="165">
        <f>G39</f>
        <v>150000</v>
      </c>
      <c r="J39" s="165">
        <f>I39/100*Tabellen!X36</f>
        <v>0</v>
      </c>
      <c r="K39" s="166">
        <f>ROUNDUP(I39+J39,-3)</f>
        <v>150000</v>
      </c>
      <c r="M39" s="199">
        <v>0</v>
      </c>
      <c r="O39" s="188"/>
    </row>
    <row r="40" spans="1:19" ht="12.5" thickBot="1" x14ac:dyDescent="0.35">
      <c r="A40" s="10">
        <f t="shared" si="1"/>
        <v>32</v>
      </c>
      <c r="B40" s="424" t="s">
        <v>356</v>
      </c>
      <c r="C40" s="425"/>
      <c r="D40" s="183"/>
      <c r="E40" s="165">
        <f>Stahlbau!B27</f>
        <v>750</v>
      </c>
      <c r="F40" s="165">
        <f>E40*'AP und Sort'!O3</f>
        <v>23250</v>
      </c>
      <c r="G40" s="183"/>
      <c r="H40" s="165">
        <f>F40*'AP und Sort'!I42</f>
        <v>46500</v>
      </c>
      <c r="I40" s="181">
        <f>ROUNDUP(H40,0)</f>
        <v>46500</v>
      </c>
      <c r="J40" s="165">
        <f>I40/100*Tabellen!X39</f>
        <v>0</v>
      </c>
      <c r="K40" s="166">
        <f>ROUNDUP(I40+J40,-2)</f>
        <v>46500</v>
      </c>
      <c r="M40" s="199">
        <v>0</v>
      </c>
    </row>
    <row r="41" spans="1:19" ht="12.5" thickBot="1" x14ac:dyDescent="0.35">
      <c r="A41" s="10">
        <f>A40+1</f>
        <v>33</v>
      </c>
      <c r="B41" s="424" t="s">
        <v>327</v>
      </c>
      <c r="C41" s="425"/>
      <c r="D41" s="183"/>
      <c r="E41" s="165"/>
      <c r="F41" s="165">
        <f>Mengen!H57</f>
        <v>102846</v>
      </c>
      <c r="G41" s="165"/>
      <c r="H41" s="165"/>
      <c r="I41" s="165">
        <f>'AP und Sort'!I42*Übersicht!F41</f>
        <v>205692</v>
      </c>
      <c r="J41" s="165">
        <f>I41/100*Tabellen!X40</f>
        <v>0</v>
      </c>
      <c r="K41" s="166">
        <f>ROUNDUP(I41+J41,-3)</f>
        <v>206000</v>
      </c>
      <c r="M41" s="199">
        <v>0</v>
      </c>
    </row>
    <row r="42" spans="1:19" ht="12.5" thickBot="1" x14ac:dyDescent="0.35">
      <c r="A42" s="10">
        <f>A41+1</f>
        <v>34</v>
      </c>
      <c r="B42" s="424" t="s">
        <v>277</v>
      </c>
      <c r="C42" s="425"/>
      <c r="D42" s="165">
        <v>15000</v>
      </c>
      <c r="E42" s="165"/>
      <c r="F42" s="165"/>
      <c r="G42" s="183"/>
      <c r="H42" s="165"/>
      <c r="I42" s="181">
        <f>D42*1.7</f>
        <v>25500</v>
      </c>
      <c r="J42" s="165">
        <f>I42/100*Tabellen!X41</f>
        <v>0</v>
      </c>
      <c r="K42" s="166">
        <f>ROUNDUP(I42+J42,-3)</f>
        <v>26000</v>
      </c>
      <c r="M42" s="199">
        <v>0</v>
      </c>
    </row>
    <row r="43" spans="1:19" ht="12.5" thickBot="1" x14ac:dyDescent="0.35">
      <c r="A43" s="10">
        <f>A42+1</f>
        <v>35</v>
      </c>
      <c r="B43" s="424" t="s">
        <v>278</v>
      </c>
      <c r="C43" s="425"/>
      <c r="D43" s="165">
        <v>3000</v>
      </c>
      <c r="E43" s="165"/>
      <c r="F43" s="165"/>
      <c r="G43" s="165"/>
      <c r="H43" s="165"/>
      <c r="I43" s="165">
        <f>D43*1.7</f>
        <v>5100</v>
      </c>
      <c r="J43" s="165">
        <f>I43/100*Tabellen!X42</f>
        <v>0</v>
      </c>
      <c r="K43" s="166">
        <f>ROUNDUP(I43+J43,-3)</f>
        <v>6000</v>
      </c>
      <c r="M43" s="199">
        <v>0</v>
      </c>
    </row>
    <row r="44" spans="1:19" ht="12.5" thickBot="1" x14ac:dyDescent="0.35">
      <c r="A44" s="10">
        <f>A43+1</f>
        <v>36</v>
      </c>
      <c r="B44" s="424" t="s">
        <v>279</v>
      </c>
      <c r="C44" s="425"/>
      <c r="D44" s="165">
        <v>3000</v>
      </c>
      <c r="E44" s="165"/>
      <c r="F44" s="165"/>
      <c r="G44" s="165"/>
      <c r="H44" s="165"/>
      <c r="I44" s="165">
        <f>D44*1.7</f>
        <v>5100</v>
      </c>
      <c r="J44" s="165">
        <f>I44/100*Tabellen!X43</f>
        <v>0</v>
      </c>
      <c r="K44" s="166">
        <f>ROUNDUP(I44+J44,-3)</f>
        <v>6000</v>
      </c>
      <c r="M44" s="199">
        <v>0</v>
      </c>
    </row>
    <row r="45" spans="1:19" ht="12.5" thickBot="1" x14ac:dyDescent="0.35">
      <c r="A45" s="10"/>
      <c r="B45" s="424" t="s">
        <v>571</v>
      </c>
      <c r="C45" s="425"/>
      <c r="D45" s="165">
        <v>314370</v>
      </c>
      <c r="E45" s="200"/>
      <c r="F45" s="200"/>
      <c r="G45" s="184"/>
      <c r="H45" s="200"/>
      <c r="I45" s="200">
        <f>D45*1.4</f>
        <v>440118</v>
      </c>
      <c r="J45" s="200"/>
      <c r="K45" s="201"/>
      <c r="M45" s="199">
        <v>0</v>
      </c>
    </row>
    <row r="46" spans="1:19" ht="12.5" thickBot="1" x14ac:dyDescent="0.35">
      <c r="A46" s="10">
        <v>37</v>
      </c>
      <c r="B46" s="424" t="s">
        <v>572</v>
      </c>
      <c r="C46" s="425"/>
      <c r="D46" s="165"/>
      <c r="E46" s="165"/>
      <c r="F46" s="165"/>
      <c r="G46" s="165"/>
      <c r="H46" s="165"/>
      <c r="I46" s="200">
        <f t="shared" ref="I46:I47" si="4">D46*1.4</f>
        <v>0</v>
      </c>
      <c r="J46" s="165"/>
      <c r="K46" s="166">
        <f>ROUNDUP(I46+J46,-3)</f>
        <v>0</v>
      </c>
      <c r="M46" s="199">
        <v>0</v>
      </c>
    </row>
    <row r="47" spans="1:19" ht="12.5" thickBot="1" x14ac:dyDescent="0.35">
      <c r="A47" s="10"/>
      <c r="B47" s="424" t="s">
        <v>548</v>
      </c>
      <c r="C47" s="425"/>
      <c r="D47" s="165">
        <v>150000</v>
      </c>
      <c r="E47" s="184"/>
      <c r="F47" s="184"/>
      <c r="G47" s="184"/>
      <c r="H47" s="184"/>
      <c r="I47" s="200">
        <f t="shared" si="4"/>
        <v>210000</v>
      </c>
      <c r="J47" s="184"/>
      <c r="K47" s="185"/>
      <c r="M47" s="199">
        <v>0</v>
      </c>
    </row>
    <row r="48" spans="1:19" ht="12.5" thickBot="1" x14ac:dyDescent="0.35">
      <c r="A48" s="34" t="s">
        <v>328</v>
      </c>
      <c r="B48" s="442">
        <v>35000</v>
      </c>
      <c r="C48" s="443"/>
      <c r="D48" s="165">
        <f>B48*Tabellen!B68</f>
        <v>169750</v>
      </c>
      <c r="E48" s="165">
        <f>Mengen!E13</f>
        <v>8.75</v>
      </c>
      <c r="F48" s="165">
        <f>E48*'AP und Sort'!O3</f>
        <v>271.25</v>
      </c>
      <c r="G48" s="165">
        <f>B48*Tabellen!C68</f>
        <v>437500</v>
      </c>
      <c r="H48" s="165">
        <f>F48*'AP und Sort'!I42</f>
        <v>542.5</v>
      </c>
      <c r="I48" s="165">
        <f>G48+H48</f>
        <v>438042.5</v>
      </c>
      <c r="J48" s="165">
        <f>I48/100*Tabellen!X30</f>
        <v>0</v>
      </c>
      <c r="K48" s="166">
        <f>ROUNDUP(I48+J48,-2)</f>
        <v>438100</v>
      </c>
      <c r="L48" s="88"/>
      <c r="M48" s="199">
        <f>K48</f>
        <v>438100</v>
      </c>
    </row>
    <row r="49" spans="1:13" ht="12.5" thickBot="1" x14ac:dyDescent="0.35">
      <c r="A49" s="34" t="s">
        <v>329</v>
      </c>
      <c r="B49" s="446">
        <v>0</v>
      </c>
      <c r="C49" s="447"/>
      <c r="D49" s="165">
        <f>B49*Tabellen!B69</f>
        <v>0</v>
      </c>
      <c r="E49" s="165">
        <f>Mengen!E14</f>
        <v>0</v>
      </c>
      <c r="F49" s="165">
        <f>E49*'AP und Sort'!O3</f>
        <v>0</v>
      </c>
      <c r="G49" s="165">
        <f>B49*Tabellen!C69</f>
        <v>0</v>
      </c>
      <c r="H49" s="165">
        <f>E49*'AP und Sort'!I42</f>
        <v>0</v>
      </c>
      <c r="I49" s="165">
        <f>G49+H49</f>
        <v>0</v>
      </c>
      <c r="J49" s="165">
        <f>I49/100*Tabellen!X31</f>
        <v>0</v>
      </c>
      <c r="K49" s="166">
        <f>ROUNDUP(I49+J49,-2)</f>
        <v>0</v>
      </c>
      <c r="L49" s="88"/>
      <c r="M49" s="199">
        <f>K49</f>
        <v>0</v>
      </c>
    </row>
    <row r="50" spans="1:13" ht="12.5" thickBot="1" x14ac:dyDescent="0.35">
      <c r="A50" s="34" t="s">
        <v>330</v>
      </c>
      <c r="B50" s="444">
        <v>0</v>
      </c>
      <c r="C50" s="445"/>
      <c r="D50" s="165">
        <f>B50*Tabellen!B71</f>
        <v>0</v>
      </c>
      <c r="E50" s="165">
        <f>Mengen!E15</f>
        <v>0</v>
      </c>
      <c r="F50" s="165">
        <f>E50*'AP und Sort'!O3</f>
        <v>0</v>
      </c>
      <c r="G50" s="165">
        <f>B50*Tabellen!C71</f>
        <v>0</v>
      </c>
      <c r="H50" s="165">
        <f>E50*'AP und Sort'!I42</f>
        <v>0</v>
      </c>
      <c r="I50" s="165">
        <f>G50+H50</f>
        <v>0</v>
      </c>
      <c r="J50" s="165">
        <f>I50/100*Tabellen!X32</f>
        <v>0</v>
      </c>
      <c r="K50" s="166">
        <f>ROUNDUP(I50+J50,-2)</f>
        <v>0</v>
      </c>
      <c r="M50" s="199">
        <f>K50</f>
        <v>0</v>
      </c>
    </row>
    <row r="51" spans="1:13" ht="12.5" thickBot="1" x14ac:dyDescent="0.35">
      <c r="A51" s="29"/>
      <c r="B51" s="424" t="s">
        <v>20</v>
      </c>
      <c r="C51" s="428"/>
      <c r="D51" s="165">
        <f>(SUM(D7:D50)-D34)*Mengen!I57</f>
        <v>1143418.0666666667</v>
      </c>
      <c r="E51" s="165">
        <f>(SUM(E7:E50)-E34-E37)*Mengen!I57</f>
        <v>4532.6666666666661</v>
      </c>
      <c r="F51" s="165">
        <f t="shared" ref="F51:K51" si="5">SUM(F7:F50)-F34</f>
        <v>243358.66666666666</v>
      </c>
      <c r="G51" s="165">
        <f>(SUM(G7:G50)-G34)*Mengen!I57</f>
        <v>1272444.8000000003</v>
      </c>
      <c r="H51" s="165">
        <f>(SUM(H7:H50)-H34)*Mengen!I57</f>
        <v>281025.33333333331</v>
      </c>
      <c r="I51" s="165">
        <f t="shared" si="5"/>
        <v>2516679.5</v>
      </c>
      <c r="J51" s="165">
        <f t="shared" si="5"/>
        <v>0</v>
      </c>
      <c r="K51" s="166">
        <f t="shared" si="5"/>
        <v>1869600</v>
      </c>
      <c r="L51" s="11"/>
      <c r="M51" s="193">
        <f>SUM(M7:M50)</f>
        <v>438100</v>
      </c>
    </row>
    <row r="52" spans="1:13" ht="12" x14ac:dyDescent="0.3">
      <c r="A52" s="30"/>
      <c r="B52" s="7"/>
      <c r="C52" s="8"/>
      <c r="D52" s="9"/>
      <c r="E52" s="8"/>
      <c r="F52" s="8"/>
      <c r="G52" s="8"/>
      <c r="H52" s="8"/>
      <c r="I52" s="9"/>
      <c r="J52" s="9"/>
      <c r="K52" s="31"/>
    </row>
    <row r="53" spans="1:13" x14ac:dyDescent="0.25">
      <c r="B53" s="2"/>
      <c r="E53" s="2" t="s">
        <v>466</v>
      </c>
      <c r="F53" s="2" t="s">
        <v>467</v>
      </c>
      <c r="G53" s="2" t="s">
        <v>468</v>
      </c>
    </row>
    <row r="54" spans="1:13" s="289" customFormat="1" x14ac:dyDescent="0.25">
      <c r="A54" s="3"/>
      <c r="B54" s="423" t="s">
        <v>465</v>
      </c>
      <c r="C54" s="423"/>
      <c r="D54" s="2"/>
      <c r="E54" s="286">
        <f>E51</f>
        <v>4532.6666666666661</v>
      </c>
      <c r="F54" s="291">
        <f>ROUNDUP(E54/D56,0)</f>
        <v>95</v>
      </c>
      <c r="G54" s="287"/>
    </row>
    <row r="55" spans="1:13" ht="11" thickBot="1" x14ac:dyDescent="0.3">
      <c r="B55" s="423" t="s">
        <v>475</v>
      </c>
      <c r="C55" s="423"/>
      <c r="E55" s="286">
        <f>Tabellen!AE62*Mengen!I57</f>
        <v>4532.6666666666661</v>
      </c>
      <c r="F55" s="291">
        <f>ROUNDUP(E55/D56,0)</f>
        <v>95</v>
      </c>
      <c r="G55" s="287">
        <f>Tabellen!AA59/7</f>
        <v>15.857142857142858</v>
      </c>
    </row>
    <row r="56" spans="1:13" ht="11.25" customHeight="1" thickBot="1" x14ac:dyDescent="0.3">
      <c r="C56" s="2" t="s">
        <v>314</v>
      </c>
      <c r="D56" s="216">
        <v>48</v>
      </c>
      <c r="I56" s="289"/>
      <c r="J56" s="299" t="s">
        <v>487</v>
      </c>
      <c r="K56" s="298">
        <v>2</v>
      </c>
    </row>
    <row r="57" spans="1:13" x14ac:dyDescent="0.25">
      <c r="C57" s="2" t="s">
        <v>316</v>
      </c>
      <c r="D57" s="217"/>
      <c r="E57" s="219"/>
      <c r="J57" s="2" t="s">
        <v>36</v>
      </c>
      <c r="K57" s="338">
        <v>1.7</v>
      </c>
    </row>
    <row r="58" spans="1:13" x14ac:dyDescent="0.25">
      <c r="C58" s="2" t="s">
        <v>326</v>
      </c>
      <c r="D58" s="226"/>
      <c r="E58" s="219"/>
    </row>
    <row r="59" spans="1:13" x14ac:dyDescent="0.25">
      <c r="C59" s="2" t="s">
        <v>315</v>
      </c>
      <c r="D59" s="218">
        <v>800</v>
      </c>
    </row>
    <row r="60" spans="1:13" x14ac:dyDescent="0.25">
      <c r="C60" s="2" t="s">
        <v>333</v>
      </c>
      <c r="D60" s="230">
        <v>85</v>
      </c>
      <c r="H60" s="422"/>
      <c r="I60" s="422"/>
    </row>
    <row r="61" spans="1:13" x14ac:dyDescent="0.25">
      <c r="C61" s="2" t="s">
        <v>332</v>
      </c>
      <c r="D61" s="230">
        <v>51</v>
      </c>
      <c r="H61" s="422"/>
      <c r="I61" s="422"/>
    </row>
    <row r="62" spans="1:13" x14ac:dyDescent="0.25">
      <c r="C62" s="2" t="s">
        <v>341</v>
      </c>
      <c r="D62" s="236">
        <v>6</v>
      </c>
      <c r="E62" s="449" t="s">
        <v>493</v>
      </c>
      <c r="F62" s="450"/>
      <c r="G62" s="450"/>
      <c r="H62" s="422"/>
      <c r="I62" s="422"/>
    </row>
    <row r="63" spans="1:13" x14ac:dyDescent="0.25">
      <c r="C63" s="2" t="s">
        <v>463</v>
      </c>
      <c r="D63" s="236">
        <v>0</v>
      </c>
      <c r="H63" s="422"/>
      <c r="I63" s="422"/>
    </row>
    <row r="64" spans="1:13" x14ac:dyDescent="0.25">
      <c r="C64" s="328" t="s">
        <v>527</v>
      </c>
      <c r="D64" s="230">
        <v>31</v>
      </c>
    </row>
    <row r="66" spans="3:11" ht="15.75" customHeight="1" thickBot="1" x14ac:dyDescent="0.3">
      <c r="C66" s="2" t="s">
        <v>479</v>
      </c>
      <c r="F66" s="327" t="s">
        <v>518</v>
      </c>
      <c r="G66" s="327" t="s">
        <v>519</v>
      </c>
      <c r="H66" s="327" t="s">
        <v>520</v>
      </c>
      <c r="I66" s="327" t="s">
        <v>521</v>
      </c>
      <c r="K66" s="327"/>
    </row>
    <row r="67" spans="3:11" ht="12.5" thickBot="1" x14ac:dyDescent="0.35">
      <c r="C67" s="2" t="s">
        <v>162</v>
      </c>
      <c r="D67" s="448" t="s">
        <v>480</v>
      </c>
      <c r="E67" s="448"/>
      <c r="F67" s="448"/>
      <c r="G67" s="341">
        <f>((G34+G39+G40)/(Mengen!B10+Mengen!C10))*(1+K5/100)</f>
        <v>340.9329522253982</v>
      </c>
      <c r="H67" s="342">
        <f>(G34+G39+G40)/Stahlbau!F35*(1+K5/100)</f>
        <v>333.97792000000004</v>
      </c>
      <c r="I67" s="342">
        <f>(G34+G39+G40)/Stahlbau!F36*(1+K5/100)</f>
        <v>333.97792000000004</v>
      </c>
    </row>
    <row r="68" spans="3:11" ht="12.5" thickBot="1" x14ac:dyDescent="0.35">
      <c r="D68" s="448" t="s">
        <v>483</v>
      </c>
      <c r="E68" s="448"/>
      <c r="F68" s="448"/>
      <c r="G68" s="341">
        <f>((G34+G35+G39+G40)/(Mengen!B10+Mengen!C10))*(1+K5/100)</f>
        <v>340.9329522253982</v>
      </c>
      <c r="H68" s="342">
        <f>(G34+G35+G39+G40)/Stahlbau!F35*(1+K5/100)</f>
        <v>333.97792000000004</v>
      </c>
      <c r="I68" s="342">
        <f>(G34+G35+G39+G40)/Stahlbau!F36*(1+K5/100)</f>
        <v>333.97792000000004</v>
      </c>
    </row>
    <row r="69" spans="3:11" ht="12.5" thickBot="1" x14ac:dyDescent="0.35">
      <c r="D69" s="448" t="s">
        <v>482</v>
      </c>
      <c r="E69" s="448"/>
      <c r="F69" s="448"/>
      <c r="G69" s="341">
        <f>(K51-K50-K49-K48)/(Mengen!B10+Mengen!C10)</f>
        <v>584.52429563086969</v>
      </c>
      <c r="H69" s="342">
        <f>(K51-K50-K49-K48)/Stahlbau!F35</f>
        <v>572.6</v>
      </c>
      <c r="I69" s="342">
        <f>(K51-K50-K49-K48)/Stahlbau!F36</f>
        <v>572.6</v>
      </c>
    </row>
    <row r="70" spans="3:11" ht="12.5" thickBot="1" x14ac:dyDescent="0.35">
      <c r="D70" s="448" t="s">
        <v>481</v>
      </c>
      <c r="E70" s="448"/>
      <c r="F70" s="448"/>
      <c r="G70" s="341">
        <f>(K50+K49+K48)/(Mengen!B10+Mengen!C10)</f>
        <v>178.88934258881176</v>
      </c>
      <c r="H70" s="342">
        <f>(K50+K49+K48)/Stahlbau!F35</f>
        <v>175.24</v>
      </c>
      <c r="I70" s="342">
        <f>(K50+K49+K48)/Stahlbau!F36</f>
        <v>175.24</v>
      </c>
    </row>
    <row r="71" spans="3:11" ht="11" thickBot="1" x14ac:dyDescent="0.3"/>
    <row r="72" spans="3:11" ht="12.5" thickBot="1" x14ac:dyDescent="0.35">
      <c r="C72" s="2" t="s">
        <v>485</v>
      </c>
      <c r="D72" s="448" t="s">
        <v>486</v>
      </c>
      <c r="E72" s="448"/>
      <c r="F72" s="448"/>
      <c r="G72" s="296">
        <f>Mengen!B10+Mengen!C10</f>
        <v>2449</v>
      </c>
    </row>
    <row r="73" spans="3:11" ht="12.5" thickBot="1" x14ac:dyDescent="0.35">
      <c r="D73" s="448" t="s">
        <v>517</v>
      </c>
      <c r="E73" s="448"/>
      <c r="F73" s="448"/>
      <c r="G73" s="297">
        <f>Stahlbau!F35</f>
        <v>2500</v>
      </c>
      <c r="H73" s="339">
        <f>Stahlbau!F34</f>
        <v>1</v>
      </c>
      <c r="I73" s="297">
        <f>Stahlbau!F36</f>
        <v>2500</v>
      </c>
    </row>
  </sheetData>
  <mergeCells count="64">
    <mergeCell ref="H61:I61"/>
    <mergeCell ref="H62:I62"/>
    <mergeCell ref="H63:I63"/>
    <mergeCell ref="E62:G62"/>
    <mergeCell ref="D72:F72"/>
    <mergeCell ref="D73:F73"/>
    <mergeCell ref="D67:F67"/>
    <mergeCell ref="D68:F68"/>
    <mergeCell ref="D69:F69"/>
    <mergeCell ref="D70:F70"/>
    <mergeCell ref="B32:C32"/>
    <mergeCell ref="B54:C54"/>
    <mergeCell ref="B51:C51"/>
    <mergeCell ref="B48:C48"/>
    <mergeCell ref="B50:C50"/>
    <mergeCell ref="B39:C39"/>
    <mergeCell ref="B47:C47"/>
    <mergeCell ref="B42:C42"/>
    <mergeCell ref="B40:C40"/>
    <mergeCell ref="B36:C36"/>
    <mergeCell ref="B49:C49"/>
    <mergeCell ref="B37:C37"/>
    <mergeCell ref="B45:C45"/>
    <mergeCell ref="B44:C44"/>
    <mergeCell ref="B33:C33"/>
    <mergeCell ref="M5:N5"/>
    <mergeCell ref="B26:C26"/>
    <mergeCell ref="B6:C6"/>
    <mergeCell ref="B11:C11"/>
    <mergeCell ref="B12:C12"/>
    <mergeCell ref="G5:I5"/>
    <mergeCell ref="A5:C5"/>
    <mergeCell ref="B20:C20"/>
    <mergeCell ref="B23:C23"/>
    <mergeCell ref="D5:F5"/>
    <mergeCell ref="M6:N6"/>
    <mergeCell ref="B7:C7"/>
    <mergeCell ref="B8:C8"/>
    <mergeCell ref="B10:C10"/>
    <mergeCell ref="B19:C19"/>
    <mergeCell ref="B13:C13"/>
    <mergeCell ref="B30:C30"/>
    <mergeCell ref="B28:C28"/>
    <mergeCell ref="B9:C9"/>
    <mergeCell ref="B17:C17"/>
    <mergeCell ref="B18:C18"/>
    <mergeCell ref="B15:C15"/>
    <mergeCell ref="B16:C16"/>
    <mergeCell ref="H60:I60"/>
    <mergeCell ref="B55:C55"/>
    <mergeCell ref="B46:C46"/>
    <mergeCell ref="B14:C14"/>
    <mergeCell ref="B29:C29"/>
    <mergeCell ref="B24:C24"/>
    <mergeCell ref="B25:C25"/>
    <mergeCell ref="B31:C31"/>
    <mergeCell ref="B27:C27"/>
    <mergeCell ref="B34:C34"/>
    <mergeCell ref="B22:C22"/>
    <mergeCell ref="B21:C21"/>
    <mergeCell ref="B38:C38"/>
    <mergeCell ref="B41:C41"/>
    <mergeCell ref="B43:C43"/>
    <mergeCell ref="B35:C35"/>
  </mergeCells>
  <phoneticPr fontId="0" type="noConversion"/>
  <pageMargins left="0.82677165354330717" right="0.23622047244094491" top="0.55118110236220474" bottom="0.15748031496062992" header="0.11811023622047245" footer="0"/>
  <pageSetup paperSize="8" scale="87" orientation="portrait" r:id="rId1"/>
  <headerFooter alignWithMargins="0"/>
  <ignoredErrors>
    <ignoredError sqref="K40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32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73"/>
      <c r="Q17" s="133"/>
      <c r="R17" s="32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73"/>
      <c r="Q18" s="133"/>
      <c r="R18" s="32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32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G1:L1"/>
    <mergeCell ref="A17:B17"/>
    <mergeCell ref="A41:B41"/>
    <mergeCell ref="B1:C1"/>
    <mergeCell ref="E1:F1"/>
    <mergeCell ref="F17:H28"/>
    <mergeCell ref="E34:J34"/>
    <mergeCell ref="E36:J36"/>
    <mergeCell ref="E35:J3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32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73"/>
      <c r="Q17" s="133"/>
      <c r="R17" s="32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73"/>
      <c r="Q18" s="133"/>
      <c r="R18" s="32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32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G1:L1"/>
    <mergeCell ref="A17:B17"/>
    <mergeCell ref="A41:B41"/>
    <mergeCell ref="B1:C1"/>
    <mergeCell ref="E1:F1"/>
    <mergeCell ref="F17:H28"/>
    <mergeCell ref="E34:J34"/>
    <mergeCell ref="E36:J36"/>
    <mergeCell ref="E35:J3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32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73"/>
      <c r="Q17" s="133"/>
      <c r="R17" s="32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73"/>
      <c r="Q18" s="133"/>
      <c r="R18" s="32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32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G1:L1"/>
    <mergeCell ref="A17:B17"/>
    <mergeCell ref="A41:B41"/>
    <mergeCell ref="B1:C1"/>
    <mergeCell ref="E1:F1"/>
    <mergeCell ref="F17:H28"/>
    <mergeCell ref="E34:J34"/>
    <mergeCell ref="E36:J36"/>
    <mergeCell ref="E35:J3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G1:L1"/>
    <mergeCell ref="A17:B17"/>
    <mergeCell ref="A41:B41"/>
    <mergeCell ref="B1:C1"/>
    <mergeCell ref="E1:F1"/>
    <mergeCell ref="F17:H28"/>
    <mergeCell ref="E34:J34"/>
    <mergeCell ref="E36:J36"/>
    <mergeCell ref="E35:J3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6"/>
  <sheetViews>
    <sheetView zoomScale="85" zoomScaleNormal="85" workbookViewId="0">
      <selection activeCell="J22" sqref="J22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 t="s">
        <v>549</v>
      </c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x14ac:dyDescent="0.35">
      <c r="A3" s="56" t="s">
        <v>15</v>
      </c>
      <c r="B3" s="57"/>
      <c r="C3" s="417" t="s">
        <v>550</v>
      </c>
      <c r="D3" s="418">
        <v>1</v>
      </c>
      <c r="E3" s="419">
        <v>11</v>
      </c>
      <c r="F3" s="419"/>
      <c r="G3" s="419"/>
      <c r="H3" s="419">
        <v>3</v>
      </c>
      <c r="I3" s="419">
        <v>2</v>
      </c>
      <c r="J3" s="419">
        <v>1</v>
      </c>
      <c r="K3" s="45">
        <f>D3*(Tabellen!C3+E3*Tabellen!D3+F3*E3*Tabellen!E3+G3*Tabellen!F3+H3*Tabellen!H3+I3*Tabellen!I3+J3*Tabellen!R3+F3*Tabellen!G3)</f>
        <v>5973.6</v>
      </c>
      <c r="L3" s="131">
        <f>D3*(Tabellen!C30+E3*Tabellen!D30+F3*E3*Tabellen!E30+G3*Tabellen!F30+H3*Tabellen!H30+I3*Tabellen!I30+J3*Tabellen!R30+F3*Tabellen!G30)</f>
        <v>43.5</v>
      </c>
      <c r="M3" s="132">
        <f>L3*Tabellen!V3</f>
        <v>1348.5</v>
      </c>
      <c r="N3" s="132">
        <f>K3+M3</f>
        <v>7322.1</v>
      </c>
      <c r="O3" s="340">
        <f>Übersicht!D64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3</v>
      </c>
      <c r="W3">
        <f>D3*I3</f>
        <v>2</v>
      </c>
      <c r="X3">
        <f>D3*J3</f>
        <v>1</v>
      </c>
    </row>
    <row r="4" spans="1:24" x14ac:dyDescent="0.35">
      <c r="A4" s="58"/>
      <c r="B4" s="59"/>
      <c r="C4" s="417" t="s">
        <v>551</v>
      </c>
      <c r="D4" s="420">
        <v>2</v>
      </c>
      <c r="E4" s="421">
        <v>6</v>
      </c>
      <c r="F4" s="421"/>
      <c r="G4" s="421"/>
      <c r="H4" s="421"/>
      <c r="I4" s="421">
        <v>3</v>
      </c>
      <c r="J4" s="421">
        <v>1</v>
      </c>
      <c r="K4" s="45">
        <f>D4*(Tabellen!C4+E4*Tabellen!D4+F4*E4*Tabellen!E4+G4*Tabellen!F4+H4*Tabellen!H4+I4*Tabellen!I4+J4*Tabellen!R4+F4*Tabellen!G4)</f>
        <v>10164</v>
      </c>
      <c r="L4" s="131">
        <f>D4*(Tabellen!C31+E4*Tabellen!D31+F4*E4*Tabellen!E31+G4*Tabellen!F31+H4*Tabellen!H31+I4*Tabellen!I31+J4*Tabellen!R31+F4*Tabellen!G31)</f>
        <v>66.5</v>
      </c>
      <c r="M4" s="132">
        <f>L4*Tabellen!V4</f>
        <v>2061.5</v>
      </c>
      <c r="N4" s="132">
        <f t="shared" ref="N4:N13" si="0">K4+M4</f>
        <v>12225.5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6</v>
      </c>
      <c r="X4">
        <f t="shared" ref="X4:X13" si="5">D4*J4</f>
        <v>2</v>
      </c>
    </row>
    <row r="5" spans="1:24" x14ac:dyDescent="0.35">
      <c r="A5" s="58"/>
      <c r="B5" s="59"/>
      <c r="C5" s="417" t="s">
        <v>553</v>
      </c>
      <c r="D5" s="420">
        <v>1</v>
      </c>
      <c r="E5" s="421">
        <v>24</v>
      </c>
      <c r="F5" s="421"/>
      <c r="G5" s="421"/>
      <c r="H5" s="421">
        <v>2</v>
      </c>
      <c r="I5" s="421">
        <v>2</v>
      </c>
      <c r="J5" s="421"/>
      <c r="K5" s="45">
        <f>D5*(Tabellen!C5+E5*Tabellen!D5+F5*E5*Tabellen!E5+G5*Tabellen!F5+H5*Tabellen!H5+I5*Tabellen!I5+J5*Tabellen!R5+F5*Tabellen!G5)</f>
        <v>5931.4</v>
      </c>
      <c r="L5" s="131">
        <f>D5*(Tabellen!C32+E5*Tabellen!D32+F5*E5*Tabellen!E32+G5*Tabellen!F32+H5*Tabellen!H32+I5*Tabellen!I32+J5*Tabellen!R32+F5*Tabellen!G32)</f>
        <v>60.5</v>
      </c>
      <c r="M5" s="132">
        <f>L5*Tabellen!V5</f>
        <v>1875.5</v>
      </c>
      <c r="N5" s="132">
        <f t="shared" si="0"/>
        <v>7806.9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2</v>
      </c>
      <c r="W5">
        <f t="shared" si="4"/>
        <v>2</v>
      </c>
      <c r="X5">
        <f>D5*J5</f>
        <v>0</v>
      </c>
    </row>
    <row r="6" spans="1:24" x14ac:dyDescent="0.35">
      <c r="A6" s="58"/>
      <c r="B6" s="59"/>
      <c r="C6" s="367" t="s">
        <v>556</v>
      </c>
      <c r="D6" s="365">
        <v>1</v>
      </c>
      <c r="E6" s="366">
        <v>17.5</v>
      </c>
      <c r="F6" s="366">
        <v>1</v>
      </c>
      <c r="G6" s="366">
        <v>3</v>
      </c>
      <c r="H6" s="366"/>
      <c r="I6" s="366">
        <v>2</v>
      </c>
      <c r="J6" s="366">
        <v>1</v>
      </c>
      <c r="K6" s="45">
        <f>D6*(Tabellen!C6+E6*Tabellen!D6+F6*E6*Tabellen!E6+G6*Tabellen!F6+H6*Tabellen!H6+I6*Tabellen!I6+J6*Tabellen!R6+F6*Tabellen!G6)</f>
        <v>6946.9</v>
      </c>
      <c r="L6" s="131">
        <f>D6*(Tabellen!C33+E6*Tabellen!D33+F6*E6*Tabellen!E33+G6*Tabellen!F33+H6*Tabellen!H33+I6*Tabellen!I33+J6*Tabellen!R33+F6*Tabellen!G33)</f>
        <v>65.75</v>
      </c>
      <c r="M6" s="132">
        <f>L6*Tabellen!V6</f>
        <v>2038.25</v>
      </c>
      <c r="N6" s="132">
        <f t="shared" si="0"/>
        <v>8985.15</v>
      </c>
      <c r="P6" s="73"/>
      <c r="Q6" s="133"/>
      <c r="R6" s="32"/>
      <c r="S6" s="74"/>
      <c r="T6">
        <f t="shared" si="1"/>
        <v>1</v>
      </c>
      <c r="U6">
        <f t="shared" si="2"/>
        <v>3</v>
      </c>
      <c r="V6">
        <f t="shared" si="3"/>
        <v>0</v>
      </c>
      <c r="W6">
        <f t="shared" si="4"/>
        <v>2</v>
      </c>
      <c r="X6">
        <f t="shared" si="5"/>
        <v>1</v>
      </c>
    </row>
    <row r="7" spans="1:24" x14ac:dyDescent="0.35">
      <c r="A7" s="58"/>
      <c r="B7" s="59"/>
      <c r="C7" s="367" t="s">
        <v>558</v>
      </c>
      <c r="D7" s="365">
        <v>1</v>
      </c>
      <c r="E7" s="366">
        <v>12</v>
      </c>
      <c r="F7" s="366">
        <v>1</v>
      </c>
      <c r="G7" s="366">
        <v>2</v>
      </c>
      <c r="H7" s="366"/>
      <c r="I7" s="366">
        <v>2</v>
      </c>
      <c r="J7" s="366">
        <v>1</v>
      </c>
      <c r="K7" s="45">
        <f>D7*(Tabellen!C7+E7*Tabellen!D7+F7*E7*Tabellen!E7+G7*Tabellen!F7+H7*Tabellen!H7+I7*Tabellen!I7+J7*Tabellen!R7+F7*Tabellen!G7)</f>
        <v>6239.6</v>
      </c>
      <c r="L7" s="131">
        <f>D7*(Tabellen!C34+E7*Tabellen!D34+F7*E7*Tabellen!E34+G7*Tabellen!F34+H7*Tabellen!H34+I7*Tabellen!I34+J7*Tabellen!R34+F7*Tabellen!G34)</f>
        <v>53</v>
      </c>
      <c r="M7" s="132">
        <f>L7*Tabellen!V7</f>
        <v>1643</v>
      </c>
      <c r="N7" s="132">
        <f t="shared" si="0"/>
        <v>7882.6</v>
      </c>
      <c r="P7" s="73"/>
      <c r="Q7" s="133"/>
      <c r="R7" s="32"/>
      <c r="S7" s="74"/>
      <c r="T7">
        <f t="shared" si="1"/>
        <v>1</v>
      </c>
      <c r="U7">
        <f t="shared" si="2"/>
        <v>2</v>
      </c>
      <c r="V7">
        <f t="shared" si="3"/>
        <v>0</v>
      </c>
      <c r="W7">
        <f t="shared" si="4"/>
        <v>2</v>
      </c>
      <c r="X7">
        <f t="shared" si="5"/>
        <v>1</v>
      </c>
    </row>
    <row r="8" spans="1:24" x14ac:dyDescent="0.35">
      <c r="A8" s="58"/>
      <c r="B8" s="59"/>
      <c r="C8" s="367" t="s">
        <v>560</v>
      </c>
      <c r="D8" s="365">
        <v>1</v>
      </c>
      <c r="E8" s="366">
        <v>10</v>
      </c>
      <c r="F8" s="366">
        <v>1</v>
      </c>
      <c r="G8" s="366">
        <v>2</v>
      </c>
      <c r="H8" s="366"/>
      <c r="I8" s="366">
        <v>2</v>
      </c>
      <c r="J8" s="366">
        <v>1</v>
      </c>
      <c r="K8" s="45">
        <f>D8*(Tabellen!C8+E8*Tabellen!D8+F8*E8*Tabellen!E8+G8*Tabellen!F8+H8*Tabellen!H8+I8*Tabellen!I8+J8*Tabellen!R8+F8*Tabellen!G8)</f>
        <v>6083.6</v>
      </c>
      <c r="L8" s="131">
        <f>D8*(Tabellen!C35+E8*Tabellen!D35+F8*E8*Tabellen!E35+G8*Tabellen!F35+H8*Tabellen!H35+I8*Tabellen!I35+J8*Tabellen!R35+F8*Tabellen!G35)</f>
        <v>49</v>
      </c>
      <c r="M8" s="132">
        <f>L8*Tabellen!V8</f>
        <v>1519</v>
      </c>
      <c r="N8" s="132">
        <f t="shared" si="0"/>
        <v>7602.6</v>
      </c>
      <c r="P8" s="73"/>
      <c r="Q8" s="133"/>
      <c r="R8" s="32"/>
      <c r="S8" s="74"/>
      <c r="T8">
        <f t="shared" si="1"/>
        <v>1</v>
      </c>
      <c r="U8">
        <f t="shared" si="2"/>
        <v>2</v>
      </c>
      <c r="V8">
        <f t="shared" si="3"/>
        <v>0</v>
      </c>
      <c r="W8">
        <f t="shared" si="4"/>
        <v>2</v>
      </c>
      <c r="X8">
        <f t="shared" si="5"/>
        <v>1</v>
      </c>
    </row>
    <row r="9" spans="1:24" x14ac:dyDescent="0.35">
      <c r="A9" s="58"/>
      <c r="B9" s="59"/>
      <c r="C9" s="367" t="s">
        <v>561</v>
      </c>
      <c r="D9" s="365">
        <v>1</v>
      </c>
      <c r="E9" s="366">
        <v>11</v>
      </c>
      <c r="F9" s="366">
        <v>1</v>
      </c>
      <c r="G9" s="366">
        <v>3</v>
      </c>
      <c r="H9" s="366"/>
      <c r="I9" s="366">
        <v>3</v>
      </c>
      <c r="J9" s="366">
        <v>2</v>
      </c>
      <c r="K9" s="45">
        <f>D9*(Tabellen!C9+E9*Tabellen!D9+F9*E9*Tabellen!E9+G9*Tabellen!F9+H9*Tabellen!H9+I9*Tabellen!I9+J9*Tabellen!R9+F9*Tabellen!G9)</f>
        <v>7494.9</v>
      </c>
      <c r="L9" s="131">
        <f>D9*(Tabellen!C36+E9*Tabellen!D36+F9*E9*Tabellen!E36+G9*Tabellen!F36+H9*Tabellen!H36+I9*Tabellen!I36+J9*Tabellen!R36+F9*Tabellen!G36)</f>
        <v>55.5</v>
      </c>
      <c r="M9" s="132">
        <f>L9*Tabellen!V9</f>
        <v>1720.5</v>
      </c>
      <c r="N9" s="132">
        <f t="shared" si="0"/>
        <v>9215.4</v>
      </c>
      <c r="P9" s="73"/>
      <c r="Q9" s="133"/>
      <c r="R9" s="32"/>
      <c r="S9" s="74"/>
      <c r="T9">
        <f t="shared" si="1"/>
        <v>1</v>
      </c>
      <c r="U9">
        <f t="shared" si="2"/>
        <v>3</v>
      </c>
      <c r="V9">
        <f t="shared" si="3"/>
        <v>0</v>
      </c>
      <c r="W9">
        <f t="shared" si="4"/>
        <v>3</v>
      </c>
      <c r="X9">
        <f t="shared" si="5"/>
        <v>2</v>
      </c>
    </row>
    <row r="10" spans="1:24" x14ac:dyDescent="0.35">
      <c r="A10" s="58"/>
      <c r="B10" s="59"/>
      <c r="C10" s="367"/>
      <c r="D10" s="365"/>
      <c r="E10" s="366"/>
      <c r="F10" s="366"/>
      <c r="G10" s="366"/>
      <c r="H10" s="366"/>
      <c r="I10" s="366"/>
      <c r="J10" s="366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399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41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41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471"/>
      <c r="F14" s="472"/>
      <c r="G14" s="472"/>
      <c r="H14" s="472"/>
      <c r="I14" s="472"/>
      <c r="J14" s="473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>K14+M14</f>
        <v>0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8</v>
      </c>
      <c r="E15" s="42">
        <f>2*(D3*E3+D4*E4+D5*E5+D6*E6+D7*E7+D8*E8+D9*E9+D10*E10+D11*E11+D12*E12+D13*E13)</f>
        <v>195</v>
      </c>
      <c r="F15" s="42">
        <f>SUM(T3:T13)</f>
        <v>4</v>
      </c>
      <c r="G15" s="42">
        <f>SUM(U3:U13)</f>
        <v>10</v>
      </c>
      <c r="H15" s="42">
        <f>SUM(V3:V13)</f>
        <v>5</v>
      </c>
      <c r="I15" s="42">
        <f>SUM(W3:W13)</f>
        <v>19</v>
      </c>
      <c r="J15" s="37">
        <f>SUM(X3:X13)</f>
        <v>8</v>
      </c>
      <c r="K15" s="32"/>
      <c r="L15" s="133"/>
      <c r="M15" s="134"/>
      <c r="N15" s="134"/>
      <c r="P15" s="111">
        <f>SUM(K3:K14)</f>
        <v>48834</v>
      </c>
      <c r="Q15" s="131">
        <f>SUM(L3:L14)</f>
        <v>393.75</v>
      </c>
      <c r="R15" s="132">
        <f>SUM(M3:M14)</f>
        <v>12206.25</v>
      </c>
      <c r="S15" s="132">
        <f>SUM(N3:N14)</f>
        <v>61040.25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363" t="s">
        <v>552</v>
      </c>
      <c r="D17" s="362">
        <v>2</v>
      </c>
      <c r="E17" s="364">
        <v>10</v>
      </c>
      <c r="F17" s="462"/>
      <c r="G17" s="463"/>
      <c r="H17" s="464"/>
      <c r="I17" s="50">
        <v>2</v>
      </c>
      <c r="J17" s="37"/>
      <c r="K17" s="45">
        <f>D17*(Tabellen!J3+E17*Tabellen!L3+I17*Tabellen!M3+J17*Tabellen!R3)</f>
        <v>2055.4</v>
      </c>
      <c r="L17" s="131">
        <f>D17*(Tabellen!J30+E17*Tabellen!L30+I17*Tabellen!M30+J17*Tabellen!R30)</f>
        <v>15.166666666666666</v>
      </c>
      <c r="M17" s="132">
        <f>L17*Tabellen!V3</f>
        <v>470.16666666666663</v>
      </c>
      <c r="N17" s="132">
        <f>K17+M17</f>
        <v>2525.5666666666666</v>
      </c>
      <c r="O17" s="32"/>
      <c r="P17" s="73"/>
      <c r="Q17" s="133"/>
      <c r="R17" s="32"/>
      <c r="S17" s="74"/>
      <c r="W17">
        <f>D17*I17</f>
        <v>4</v>
      </c>
      <c r="X17">
        <f>D17*J17</f>
        <v>0</v>
      </c>
    </row>
    <row r="18" spans="1:24" x14ac:dyDescent="0.35">
      <c r="A18" s="58"/>
      <c r="B18" s="59"/>
      <c r="C18" s="363" t="s">
        <v>554</v>
      </c>
      <c r="D18" s="362">
        <v>1</v>
      </c>
      <c r="E18" s="364">
        <v>10</v>
      </c>
      <c r="F18" s="465"/>
      <c r="G18" s="466"/>
      <c r="H18" s="467"/>
      <c r="I18" s="50">
        <v>1</v>
      </c>
      <c r="J18" s="37"/>
      <c r="K18" s="45">
        <f>D18*(Tabellen!J4+E18*Tabellen!L4+I18*Tabellen!M4+J18*Tabellen!R4)</f>
        <v>757.6</v>
      </c>
      <c r="L18" s="131">
        <f>D18*(Tabellen!J31+E18*Tabellen!L31+I18*Tabellen!M31+J18*Tabellen!R31)</f>
        <v>6.333333333333333</v>
      </c>
      <c r="M18" s="132">
        <f>L18*Tabellen!V4</f>
        <v>196.33333333333331</v>
      </c>
      <c r="N18" s="132">
        <f t="shared" ref="N18:N25" si="6">K18+M18</f>
        <v>953.93333333333339</v>
      </c>
      <c r="O18" s="32"/>
      <c r="P18" s="73"/>
      <c r="Q18" s="133"/>
      <c r="R18" s="32"/>
      <c r="S18" s="74"/>
      <c r="W18">
        <f t="shared" ref="W18:W26" si="7">D18*I18</f>
        <v>1</v>
      </c>
      <c r="X18">
        <f t="shared" ref="X18:X26" si="8">D18*J18</f>
        <v>0</v>
      </c>
    </row>
    <row r="19" spans="1:24" x14ac:dyDescent="0.35">
      <c r="A19" s="58"/>
      <c r="B19" s="59"/>
      <c r="C19" s="330" t="s">
        <v>555</v>
      </c>
      <c r="D19" s="44">
        <v>1</v>
      </c>
      <c r="E19" s="65">
        <v>10</v>
      </c>
      <c r="F19" s="465"/>
      <c r="G19" s="466"/>
      <c r="H19" s="467"/>
      <c r="I19" s="50">
        <v>1</v>
      </c>
      <c r="J19" s="37"/>
      <c r="K19" s="45">
        <f>D19*(Tabellen!J5+E19*Tabellen!L5+I19*Tabellen!M5+J19*Tabellen!R5)</f>
        <v>757.6</v>
      </c>
      <c r="L19" s="131">
        <f>D19*(Tabellen!J32+E19*Tabellen!L32+I19*Tabellen!M32+J19*Tabellen!R32)</f>
        <v>6.333333333333333</v>
      </c>
      <c r="M19" s="132">
        <f>L19*Tabellen!V5</f>
        <v>196.33333333333331</v>
      </c>
      <c r="N19" s="132">
        <f t="shared" si="6"/>
        <v>953.93333333333339</v>
      </c>
      <c r="O19" s="32"/>
      <c r="P19" s="73"/>
      <c r="Q19" s="133"/>
      <c r="R19" s="32"/>
      <c r="S19" s="74"/>
      <c r="W19">
        <f t="shared" si="7"/>
        <v>1</v>
      </c>
      <c r="X19">
        <f t="shared" si="8"/>
        <v>0</v>
      </c>
    </row>
    <row r="20" spans="1:24" x14ac:dyDescent="0.35">
      <c r="A20" s="58"/>
      <c r="B20" s="59"/>
      <c r="C20" s="401" t="s">
        <v>557</v>
      </c>
      <c r="D20" s="44">
        <v>15</v>
      </c>
      <c r="E20" s="65">
        <v>5</v>
      </c>
      <c r="F20" s="465"/>
      <c r="G20" s="466"/>
      <c r="H20" s="467"/>
      <c r="I20" s="50">
        <v>1</v>
      </c>
      <c r="J20" s="37"/>
      <c r="K20" s="45">
        <f>D20*(Tabellen!J6+E20*Tabellen!L6+I20*Tabellen!M6+J20*Tabellen!R6)</f>
        <v>9714</v>
      </c>
      <c r="L20" s="131">
        <f>D20*(Tabellen!J33+E20*Tabellen!L33+I20*Tabellen!M33+J20*Tabellen!R33)</f>
        <v>69.999999999999986</v>
      </c>
      <c r="M20" s="132">
        <f>L20*Tabellen!V6</f>
        <v>2169.9999999999995</v>
      </c>
      <c r="N20" s="132">
        <f t="shared" si="6"/>
        <v>11884</v>
      </c>
      <c r="O20" s="32"/>
      <c r="P20" s="73"/>
      <c r="Q20" s="133"/>
      <c r="R20" s="32"/>
      <c r="S20" s="74"/>
      <c r="W20">
        <f t="shared" si="7"/>
        <v>15</v>
      </c>
      <c r="X20">
        <f t="shared" si="8"/>
        <v>0</v>
      </c>
    </row>
    <row r="21" spans="1:24" x14ac:dyDescent="0.35">
      <c r="A21" s="58"/>
      <c r="B21" s="59"/>
      <c r="C21" s="401" t="s">
        <v>559</v>
      </c>
      <c r="D21" s="44">
        <v>22</v>
      </c>
      <c r="E21" s="65">
        <v>2</v>
      </c>
      <c r="F21" s="465"/>
      <c r="G21" s="466"/>
      <c r="H21" s="467"/>
      <c r="I21" s="50">
        <v>1</v>
      </c>
      <c r="J21" s="37"/>
      <c r="K21" s="45">
        <f>D21*(Tabellen!J7+E21*Tabellen!L7+I21*Tabellen!M7+J21*Tabellen!R7)</f>
        <v>12795.2</v>
      </c>
      <c r="L21" s="131">
        <f>D21*(Tabellen!J34+E21*Tabellen!L34+I21*Tabellen!M34+J21*Tabellen!R34)</f>
        <v>80.666666666666657</v>
      </c>
      <c r="M21" s="132">
        <f>L21*Tabellen!V7</f>
        <v>2500.6666666666665</v>
      </c>
      <c r="N21" s="132">
        <f t="shared" si="6"/>
        <v>15295.866666666667</v>
      </c>
      <c r="O21" s="32"/>
      <c r="P21" s="73"/>
      <c r="Q21" s="133"/>
      <c r="R21" s="32"/>
      <c r="S21" s="74"/>
      <c r="W21">
        <f t="shared" si="7"/>
        <v>22</v>
      </c>
      <c r="X21">
        <f t="shared" si="8"/>
        <v>0</v>
      </c>
    </row>
    <row r="22" spans="1:24" x14ac:dyDescent="0.35">
      <c r="A22" s="58"/>
      <c r="B22" s="59"/>
      <c r="C22" s="401" t="s">
        <v>562</v>
      </c>
      <c r="D22" s="44">
        <v>1</v>
      </c>
      <c r="E22" s="65">
        <v>5</v>
      </c>
      <c r="F22" s="465"/>
      <c r="G22" s="466"/>
      <c r="H22" s="467"/>
      <c r="I22" s="50">
        <v>1</v>
      </c>
      <c r="J22" s="37"/>
      <c r="K22" s="45">
        <f>D22*(Tabellen!J8+E22*Tabellen!L8+I22*Tabellen!M8+J22*Tabellen!R8)</f>
        <v>647.6</v>
      </c>
      <c r="L22" s="131">
        <f>D22*(Tabellen!J35+E22*Tabellen!L35+I22*Tabellen!M35+J22*Tabellen!R35)</f>
        <v>4.6666666666666661</v>
      </c>
      <c r="M22" s="132">
        <f>L22*Tabellen!V8</f>
        <v>144.66666666666666</v>
      </c>
      <c r="N22" s="132">
        <f t="shared" si="6"/>
        <v>792.26666666666665</v>
      </c>
      <c r="O22" s="32"/>
      <c r="P22" s="73"/>
      <c r="Q22" s="133"/>
      <c r="R22" s="32"/>
      <c r="S22" s="74"/>
      <c r="W22">
        <f t="shared" si="7"/>
        <v>1</v>
      </c>
      <c r="X22">
        <f t="shared" si="8"/>
        <v>0</v>
      </c>
    </row>
    <row r="23" spans="1:24" x14ac:dyDescent="0.35">
      <c r="A23" s="58"/>
      <c r="B23" s="59"/>
      <c r="C23" s="401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401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>K26+M26</f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>K27+M27</f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42</v>
      </c>
      <c r="E28" s="65">
        <f>D17*E17+D18*E18+D19*E19+D20*E20+D21*E21+D22*E22+D23*E23+D24*E24+D25*E25+D27*E27</f>
        <v>164</v>
      </c>
      <c r="F28" s="468"/>
      <c r="G28" s="469"/>
      <c r="H28" s="470"/>
      <c r="I28" s="50">
        <f>SUM(W17:W26)</f>
        <v>44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26727.4</v>
      </c>
      <c r="Q28" s="131">
        <f>SUM(L17:L27)</f>
        <v>183.16666666666663</v>
      </c>
      <c r="R28" s="132">
        <f>SUM(M17:M27)</f>
        <v>5678.166666666667</v>
      </c>
      <c r="S28" s="132">
        <f>SUM(N17:N27)</f>
        <v>32405.566666666669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>
        <v>4</v>
      </c>
      <c r="E30" s="65"/>
      <c r="F30" s="49"/>
      <c r="G30" s="49"/>
      <c r="H30" s="49"/>
      <c r="I30" s="49"/>
      <c r="J30" s="49"/>
      <c r="K30" s="45">
        <f>D30*Tabellen!N3</f>
        <v>11276</v>
      </c>
      <c r="L30" s="131">
        <f>D30*Tabellen!N30</f>
        <v>56</v>
      </c>
      <c r="M30" s="132">
        <f>L30*Tabellen!V3</f>
        <v>1736</v>
      </c>
      <c r="N30" s="132">
        <f>K30+M30</f>
        <v>13012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74"/>
      <c r="F34" s="475"/>
      <c r="G34" s="475"/>
      <c r="H34" s="475"/>
      <c r="I34" s="475"/>
      <c r="J34" s="476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51" t="s">
        <v>227</v>
      </c>
      <c r="F35" s="452"/>
      <c r="G35" s="452"/>
      <c r="H35" s="452"/>
      <c r="I35" s="452"/>
      <c r="J35" s="453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77"/>
      <c r="F36" s="478"/>
      <c r="G36" s="478"/>
      <c r="H36" s="478"/>
      <c r="I36" s="478"/>
      <c r="J36" s="479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 t="str">
        <f>G1</f>
        <v>AP und Sort</v>
      </c>
      <c r="D41" s="48"/>
      <c r="E41" s="49"/>
      <c r="F41" s="49"/>
      <c r="G41" s="49"/>
      <c r="H41" s="49"/>
      <c r="I41" s="50"/>
      <c r="J41" s="50"/>
      <c r="K41" s="45">
        <f>SUM(K3:K39)</f>
        <v>86837.400000000009</v>
      </c>
      <c r="L41" s="131">
        <f>SUM(L3:L40)</f>
        <v>632.91666666666663</v>
      </c>
      <c r="M41" s="132">
        <f>L41*O3</f>
        <v>19620.416666666664</v>
      </c>
      <c r="N41" s="132">
        <f>K41+M41</f>
        <v>106457.81666666668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340">
        <f>Übersicht!K56</f>
        <v>2</v>
      </c>
      <c r="J42" s="62"/>
      <c r="K42" s="45">
        <f>I42*K41</f>
        <v>173674.80000000002</v>
      </c>
      <c r="L42" s="131"/>
      <c r="M42" s="132">
        <f>I42*M41</f>
        <v>39240.833333333328</v>
      </c>
      <c r="N42" s="132">
        <f>I42*N41</f>
        <v>212915.63333333336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213000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10">
    <mergeCell ref="E35:J35"/>
    <mergeCell ref="A17:B17"/>
    <mergeCell ref="A41:B41"/>
    <mergeCell ref="B1:C1"/>
    <mergeCell ref="E1:F1"/>
    <mergeCell ref="F17:H28"/>
    <mergeCell ref="E14:J14"/>
    <mergeCell ref="E34:J34"/>
    <mergeCell ref="E36:J36"/>
    <mergeCell ref="G1:L1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X106"/>
  <sheetViews>
    <sheetView zoomScale="85" zoomScaleNormal="85" workbookViewId="0">
      <selection activeCell="W17" sqref="W1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47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148"/>
      <c r="Q3" s="150"/>
      <c r="R3" s="148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148"/>
      <c r="Q4" s="150"/>
      <c r="R4" s="148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148"/>
      <c r="Q5" s="150"/>
      <c r="R5" s="148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148"/>
      <c r="Q6" s="150"/>
      <c r="R6" s="148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148"/>
      <c r="Q7" s="150"/>
      <c r="R7" s="148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148"/>
      <c r="Q8" s="150"/>
      <c r="R8" s="148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148"/>
      <c r="Q9" s="150"/>
      <c r="R9" s="148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148"/>
      <c r="Q10" s="150"/>
      <c r="R10" s="148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148"/>
      <c r="Q11" s="150"/>
      <c r="R11" s="148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148"/>
      <c r="Q12" s="150"/>
      <c r="R12" s="148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148"/>
      <c r="Q13" s="150"/>
      <c r="R13" s="148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148"/>
      <c r="Q14" s="150"/>
      <c r="R14" s="148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49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148"/>
      <c r="Q16" s="150"/>
      <c r="R16" s="148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148"/>
      <c r="Q17" s="150"/>
      <c r="R17" s="148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148"/>
      <c r="Q18" s="150"/>
      <c r="R18" s="148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148"/>
      <c r="Q19" s="150"/>
      <c r="R19" s="148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148"/>
      <c r="Q20" s="150"/>
      <c r="R20" s="148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148"/>
      <c r="Q21" s="150"/>
      <c r="R21" s="148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148"/>
      <c r="Q22" s="150"/>
      <c r="R22" s="148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148"/>
      <c r="Q23" s="150"/>
      <c r="R23" s="148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148"/>
      <c r="Q24" s="150"/>
      <c r="R24" s="148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148"/>
      <c r="Q25" s="150"/>
      <c r="R25" s="148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148"/>
      <c r="Q26" s="150"/>
      <c r="R26" s="148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148"/>
      <c r="Q27" s="150"/>
      <c r="R27" s="148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49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148"/>
      <c r="Q29" s="150"/>
      <c r="R29" s="148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148"/>
      <c r="Q30" s="150"/>
      <c r="R30" s="148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148"/>
      <c r="Q31" s="150"/>
      <c r="R31" s="148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148"/>
      <c r="Q32" s="150"/>
      <c r="R32" s="148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148"/>
      <c r="Q33" s="150"/>
      <c r="R33" s="148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148"/>
      <c r="Q34" s="150"/>
      <c r="R34" s="148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148"/>
      <c r="Q35" s="150"/>
      <c r="R35" s="148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148"/>
      <c r="Q36" s="150"/>
      <c r="R36" s="148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148"/>
      <c r="Q37" s="150"/>
      <c r="R37" s="148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49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45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45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45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E35:J35"/>
    <mergeCell ref="E36:J36"/>
    <mergeCell ref="A41:B41"/>
    <mergeCell ref="B1:C1"/>
    <mergeCell ref="E1:F1"/>
    <mergeCell ref="G1:L1"/>
    <mergeCell ref="A17:B17"/>
    <mergeCell ref="F17:H28"/>
    <mergeCell ref="E34:J34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56"/>
  <sheetViews>
    <sheetView zoomScale="85" zoomScaleNormal="85" workbookViewId="0">
      <selection activeCell="F40" sqref="F40"/>
    </sheetView>
  </sheetViews>
  <sheetFormatPr baseColWidth="10" defaultRowHeight="14.5" x14ac:dyDescent="0.35"/>
  <cols>
    <col min="1" max="1" width="21.81640625" bestFit="1" customWidth="1"/>
    <col min="2" max="2" width="11.54296875" customWidth="1"/>
    <col min="3" max="3" width="11.26953125" customWidth="1"/>
    <col min="4" max="6" width="10.453125" bestFit="1" customWidth="1"/>
    <col min="7" max="7" width="11.1796875" customWidth="1"/>
    <col min="8" max="8" width="12.54296875" bestFit="1" customWidth="1"/>
    <col min="9" max="9" width="11.26953125" customWidth="1"/>
    <col min="10" max="15" width="10.453125" bestFit="1" customWidth="1"/>
    <col min="16" max="16" width="22.7265625" customWidth="1"/>
    <col min="17" max="17" width="10.453125" bestFit="1" customWidth="1"/>
    <col min="18" max="18" width="9.7265625" bestFit="1" customWidth="1"/>
    <col min="19" max="19" width="9.54296875" customWidth="1"/>
    <col min="20" max="20" width="10.7265625" bestFit="1" customWidth="1"/>
  </cols>
  <sheetData>
    <row r="1" spans="1:23" ht="24.75" customHeight="1" thickBot="1" x14ac:dyDescent="0.4">
      <c r="A1" s="101" t="s">
        <v>74</v>
      </c>
      <c r="B1" s="102" t="str">
        <f>Übersicht!C3</f>
        <v>Faurecia Entwurf 1</v>
      </c>
      <c r="C1" s="102"/>
      <c r="D1" s="102"/>
      <c r="E1" s="102" t="s">
        <v>75</v>
      </c>
      <c r="F1" s="102">
        <f>Übersicht!D3</f>
        <v>44322</v>
      </c>
      <c r="G1" s="102"/>
      <c r="H1" s="102"/>
      <c r="I1" s="102" t="s">
        <v>33</v>
      </c>
      <c r="J1" s="105" t="str">
        <f>Übersicht!D2</f>
        <v>Datum</v>
      </c>
      <c r="K1" s="107"/>
      <c r="L1" s="107"/>
      <c r="M1" s="107"/>
      <c r="N1" s="107"/>
      <c r="O1" s="107"/>
      <c r="P1" s="108"/>
      <c r="Q1" s="108"/>
      <c r="R1" s="108"/>
    </row>
    <row r="2" spans="1:23" ht="24.75" customHeight="1" x14ac:dyDescent="0.35">
      <c r="A2" s="100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8"/>
      <c r="Q2" s="108"/>
      <c r="R2" s="108"/>
    </row>
    <row r="3" spans="1:23" x14ac:dyDescent="0.35">
      <c r="A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23" x14ac:dyDescent="0.35">
      <c r="A4" s="108" t="s">
        <v>14</v>
      </c>
      <c r="B4" t="s">
        <v>111</v>
      </c>
      <c r="C4" t="s">
        <v>112</v>
      </c>
      <c r="D4" t="s">
        <v>113</v>
      </c>
      <c r="E4" t="s">
        <v>114</v>
      </c>
      <c r="F4" t="s">
        <v>115</v>
      </c>
      <c r="G4" t="s">
        <v>116</v>
      </c>
      <c r="H4" t="s">
        <v>149</v>
      </c>
      <c r="I4" t="s">
        <v>121</v>
      </c>
      <c r="J4" t="s">
        <v>11</v>
      </c>
      <c r="O4" t="s">
        <v>442</v>
      </c>
    </row>
    <row r="5" spans="1:23" x14ac:dyDescent="0.35">
      <c r="O5" t="s">
        <v>444</v>
      </c>
      <c r="P5" t="s">
        <v>445</v>
      </c>
      <c r="Q5" t="s">
        <v>434</v>
      </c>
      <c r="R5" t="s">
        <v>452</v>
      </c>
      <c r="S5" t="s">
        <v>453</v>
      </c>
      <c r="T5" t="s">
        <v>437</v>
      </c>
      <c r="U5" t="s">
        <v>139</v>
      </c>
      <c r="V5" t="s">
        <v>438</v>
      </c>
      <c r="W5" t="s">
        <v>451</v>
      </c>
    </row>
    <row r="6" spans="1:23" x14ac:dyDescent="0.35">
      <c r="A6" s="64" t="s">
        <v>125</v>
      </c>
      <c r="B6" s="64">
        <f>Steuerg!B32</f>
        <v>39</v>
      </c>
      <c r="C6" s="64">
        <f>Steuerg!C32</f>
        <v>27</v>
      </c>
      <c r="D6" s="64">
        <f>Steuerg!D32</f>
        <v>22</v>
      </c>
      <c r="E6" s="64">
        <f>Steuerg!E32</f>
        <v>29</v>
      </c>
      <c r="F6" s="64">
        <f>Steuerg!F32</f>
        <v>57</v>
      </c>
      <c r="G6" s="64">
        <f>Steuerg!G32</f>
        <v>200</v>
      </c>
      <c r="H6" s="64">
        <f>Steuerg!H32</f>
        <v>120</v>
      </c>
      <c r="I6" s="64">
        <f>Steuerg!N32</f>
        <v>10</v>
      </c>
      <c r="J6" s="64">
        <f>Steuerg!O32</f>
        <v>34</v>
      </c>
      <c r="O6" t="s">
        <v>443</v>
      </c>
      <c r="P6" t="s">
        <v>446</v>
      </c>
      <c r="Q6" s="269"/>
      <c r="R6" s="213">
        <v>1890</v>
      </c>
      <c r="S6" s="213">
        <v>850</v>
      </c>
      <c r="T6" s="213">
        <f>ROUNDUP((R6+S6)*Q6,-1)</f>
        <v>0</v>
      </c>
      <c r="U6" s="227">
        <v>3</v>
      </c>
      <c r="V6" s="227">
        <f>Q6*U6</f>
        <v>0</v>
      </c>
      <c r="W6" s="213">
        <f>V6*Tabellen!V3</f>
        <v>0</v>
      </c>
    </row>
    <row r="7" spans="1:23" x14ac:dyDescent="0.35">
      <c r="C7" s="79" t="s">
        <v>489</v>
      </c>
      <c r="D7" s="301">
        <f>I28</f>
        <v>4</v>
      </c>
      <c r="O7" t="s">
        <v>447</v>
      </c>
      <c r="P7" s="496" t="s">
        <v>448</v>
      </c>
      <c r="Q7" s="269"/>
      <c r="R7" s="213">
        <v>1940</v>
      </c>
      <c r="S7" s="213">
        <v>850</v>
      </c>
      <c r="T7" s="213">
        <f t="shared" ref="T7:T9" si="0">ROUNDUP((R7+S7)*Q7,-1)</f>
        <v>0</v>
      </c>
      <c r="U7" s="227">
        <v>3</v>
      </c>
      <c r="V7" s="227">
        <f t="shared" ref="V7:V9" si="1">Q7*U7</f>
        <v>0</v>
      </c>
      <c r="W7" s="213">
        <f>V7*Tabellen!V4</f>
        <v>0</v>
      </c>
    </row>
    <row r="8" spans="1:23" x14ac:dyDescent="0.35">
      <c r="A8" s="108" t="s">
        <v>14</v>
      </c>
      <c r="B8" t="s">
        <v>225</v>
      </c>
      <c r="C8" t="s">
        <v>226</v>
      </c>
      <c r="D8" t="s">
        <v>244</v>
      </c>
      <c r="E8" t="s">
        <v>245</v>
      </c>
      <c r="F8" t="s">
        <v>16</v>
      </c>
      <c r="G8" t="s">
        <v>120</v>
      </c>
      <c r="H8" t="s">
        <v>117</v>
      </c>
      <c r="I8" t="s">
        <v>118</v>
      </c>
      <c r="J8" t="s">
        <v>119</v>
      </c>
      <c r="P8" s="496"/>
      <c r="Q8" s="202"/>
      <c r="R8" s="213"/>
      <c r="S8" s="213"/>
      <c r="T8" s="213"/>
      <c r="U8" s="227"/>
      <c r="V8" s="227"/>
      <c r="W8" s="213"/>
    </row>
    <row r="9" spans="1:23" x14ac:dyDescent="0.35">
      <c r="O9" t="s">
        <v>449</v>
      </c>
      <c r="P9" s="496" t="s">
        <v>450</v>
      </c>
      <c r="Q9" s="269"/>
      <c r="R9" s="213">
        <v>2120</v>
      </c>
      <c r="S9" s="213">
        <v>850</v>
      </c>
      <c r="T9" s="213">
        <f t="shared" si="0"/>
        <v>0</v>
      </c>
      <c r="U9" s="227">
        <v>3</v>
      </c>
      <c r="V9" s="227">
        <f t="shared" si="1"/>
        <v>0</v>
      </c>
      <c r="W9" s="213">
        <f>V9*Tabellen!V6</f>
        <v>0</v>
      </c>
    </row>
    <row r="10" spans="1:23" x14ac:dyDescent="0.35">
      <c r="A10" s="64" t="s">
        <v>125</v>
      </c>
      <c r="B10" s="64">
        <f>Steuerg!T31</f>
        <v>713</v>
      </c>
      <c r="C10" s="64">
        <f>'AP und Sort'!E28+Puffer!E28+'3'!E28+'4'!E28+'5'!E28+'6'!E28+'7'!E28+'8'!E28+'9'!E28+'10'!E28+'11'!E28+'12'!E28+'13'!E28+'14'!E28+'15'!E28+'16'!E28+'17'!E28+'18'!E28+'19'!E28+'20'!E28+'21'!E28+'22'!E28+'23'!E28+'24'!E28+'25'!E28</f>
        <v>1736</v>
      </c>
      <c r="D10" s="64">
        <f>ROUNDUP(Tabellen!AA86,0)</f>
        <v>246</v>
      </c>
      <c r="E10" s="64">
        <f>ROUNDUP(Tabellen!AA88,0)</f>
        <v>565</v>
      </c>
      <c r="F10" s="64">
        <f>Steuerg!L32</f>
        <v>10</v>
      </c>
      <c r="G10" s="64">
        <f>Steuerg!M32</f>
        <v>0</v>
      </c>
      <c r="H10" s="64">
        <f>Steuerg!I32</f>
        <v>0</v>
      </c>
      <c r="I10" s="64">
        <f>Steuerg!J32</f>
        <v>0</v>
      </c>
      <c r="J10" s="64">
        <f>Steuerg!K32</f>
        <v>0</v>
      </c>
      <c r="P10" s="496"/>
      <c r="Q10" s="202"/>
      <c r="S10" s="213"/>
      <c r="T10" s="227"/>
      <c r="U10" s="227"/>
      <c r="V10" s="213"/>
    </row>
    <row r="11" spans="1:23" x14ac:dyDescent="0.35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23" s="271" customFormat="1" x14ac:dyDescent="0.35">
      <c r="A12" s="2" t="s">
        <v>350</v>
      </c>
      <c r="B12" s="191">
        <f>IF((Übersicht!B50+Übersicht!B32)&gt;0,1,0)</f>
        <v>0</v>
      </c>
      <c r="C12" s="32"/>
      <c r="D12" s="32"/>
      <c r="E12" s="32"/>
      <c r="F12" s="32"/>
      <c r="G12" s="32"/>
      <c r="H12" s="32"/>
      <c r="I12" s="32"/>
      <c r="J12" s="32"/>
      <c r="P12" t="s">
        <v>454</v>
      </c>
      <c r="Q12" s="202">
        <f>SUM(Q6:Q11)</f>
        <v>0</v>
      </c>
      <c r="R12" s="213">
        <v>35</v>
      </c>
      <c r="S12"/>
      <c r="T12" s="213">
        <f t="shared" ref="T12" si="2">ROUNDUP((R12+S12)*Q12,-1)</f>
        <v>0</v>
      </c>
      <c r="U12" s="227">
        <v>0.5</v>
      </c>
      <c r="V12" s="227">
        <f t="shared" ref="V12" si="3">Q12*U12</f>
        <v>0</v>
      </c>
      <c r="W12" s="213">
        <f>V12*Tabellen!V9</f>
        <v>0</v>
      </c>
    </row>
    <row r="13" spans="1:23" s="271" customFormat="1" x14ac:dyDescent="0.35">
      <c r="A13" s="32"/>
      <c r="B13" s="32"/>
      <c r="C13" s="32"/>
      <c r="D13" s="32"/>
      <c r="E13" s="32"/>
      <c r="F13" s="32"/>
      <c r="G13" s="32"/>
      <c r="H13" s="32"/>
      <c r="I13" s="32"/>
      <c r="J13" s="32"/>
      <c r="Q13" s="202"/>
      <c r="R13" s="213"/>
      <c r="T13" s="213"/>
      <c r="U13" s="227"/>
      <c r="V13" s="227"/>
      <c r="W13" s="213"/>
    </row>
    <row r="14" spans="1:23" x14ac:dyDescent="0.35">
      <c r="I14" s="237"/>
      <c r="P14" s="204" t="s">
        <v>455</v>
      </c>
    </row>
    <row r="15" spans="1:23" x14ac:dyDescent="0.35">
      <c r="B15" t="s">
        <v>405</v>
      </c>
      <c r="C15" s="495" t="s">
        <v>14</v>
      </c>
      <c r="D15" s="495"/>
      <c r="F15" t="s">
        <v>24</v>
      </c>
      <c r="G15" t="s">
        <v>162</v>
      </c>
      <c r="H15" t="s">
        <v>139</v>
      </c>
      <c r="I15" t="s">
        <v>434</v>
      </c>
      <c r="J15" t="s">
        <v>437</v>
      </c>
      <c r="K15" t="s">
        <v>438</v>
      </c>
      <c r="L15" t="s">
        <v>439</v>
      </c>
      <c r="P15" s="496" t="s">
        <v>456</v>
      </c>
      <c r="Q15" s="269"/>
      <c r="R15" s="213">
        <v>570</v>
      </c>
      <c r="S15" s="213"/>
      <c r="T15" s="213">
        <f t="shared" ref="T15" si="4">ROUNDUP((R15+S15)*Q15,-1)</f>
        <v>0</v>
      </c>
      <c r="U15" s="227">
        <v>5</v>
      </c>
      <c r="V15" s="227">
        <f t="shared" ref="V15" si="5">Q15*U15</f>
        <v>0</v>
      </c>
      <c r="W15" s="213">
        <f>V15*Tabellen!V12</f>
        <v>0</v>
      </c>
    </row>
    <row r="16" spans="1:23" x14ac:dyDescent="0.35">
      <c r="B16" t="s">
        <v>406</v>
      </c>
      <c r="C16" s="495" t="s">
        <v>407</v>
      </c>
      <c r="D16" s="495"/>
      <c r="F16" s="202">
        <v>1</v>
      </c>
      <c r="G16" s="213">
        <v>22</v>
      </c>
      <c r="H16" s="227">
        <v>0.1</v>
      </c>
      <c r="I16" s="202">
        <f>H6</f>
        <v>120</v>
      </c>
      <c r="J16" s="213">
        <f t="shared" ref="J16:J33" si="6">G16*I16</f>
        <v>2640</v>
      </c>
      <c r="K16" s="227">
        <f t="shared" ref="K16:K33" si="7">H16*I16</f>
        <v>12</v>
      </c>
      <c r="L16" s="213">
        <f>K16*Tabellen!V3</f>
        <v>372</v>
      </c>
      <c r="P16" s="496"/>
    </row>
    <row r="17" spans="2:23" x14ac:dyDescent="0.35">
      <c r="B17" t="s">
        <v>408</v>
      </c>
      <c r="C17" s="495" t="s">
        <v>409</v>
      </c>
      <c r="D17" s="495"/>
      <c r="F17" s="202">
        <v>1</v>
      </c>
      <c r="G17" s="213">
        <v>0.6</v>
      </c>
      <c r="H17" s="227">
        <v>0.02</v>
      </c>
      <c r="I17" s="202">
        <f>H6</f>
        <v>120</v>
      </c>
      <c r="J17" s="213">
        <f t="shared" si="6"/>
        <v>72</v>
      </c>
      <c r="K17" s="227">
        <f t="shared" si="7"/>
        <v>2.4</v>
      </c>
      <c r="L17" s="213">
        <f>K17*Tabellen!V4</f>
        <v>74.399999999999991</v>
      </c>
    </row>
    <row r="18" spans="2:23" x14ac:dyDescent="0.35">
      <c r="B18" t="s">
        <v>410</v>
      </c>
      <c r="C18" s="495" t="s">
        <v>411</v>
      </c>
      <c r="D18" s="495"/>
      <c r="F18" s="203">
        <v>1</v>
      </c>
      <c r="G18" s="213">
        <v>2.6</v>
      </c>
      <c r="H18" s="227">
        <v>0.02</v>
      </c>
      <c r="I18" s="202">
        <f>H6</f>
        <v>120</v>
      </c>
      <c r="J18" s="213">
        <f t="shared" si="6"/>
        <v>312</v>
      </c>
      <c r="K18" s="227">
        <f t="shared" si="7"/>
        <v>2.4</v>
      </c>
      <c r="L18" s="213">
        <f>K18*Tabellen!V5</f>
        <v>74.399999999999991</v>
      </c>
      <c r="O18" s="204" t="s">
        <v>20</v>
      </c>
      <c r="T18" s="213">
        <f>SUM(T6:T17)</f>
        <v>0</v>
      </c>
      <c r="V18" s="227">
        <f>SUM(V6:V17)</f>
        <v>0</v>
      </c>
      <c r="W18" s="213">
        <f>SUM(W6:W17)</f>
        <v>0</v>
      </c>
    </row>
    <row r="19" spans="2:23" x14ac:dyDescent="0.35">
      <c r="B19" t="s">
        <v>412</v>
      </c>
      <c r="C19" s="495" t="s">
        <v>413</v>
      </c>
      <c r="D19" s="495"/>
      <c r="F19" s="202">
        <v>1</v>
      </c>
      <c r="G19" s="213">
        <v>2.6</v>
      </c>
      <c r="H19" s="227">
        <v>0.02</v>
      </c>
      <c r="I19" s="202">
        <f>H6</f>
        <v>120</v>
      </c>
      <c r="J19" s="213">
        <f t="shared" si="6"/>
        <v>312</v>
      </c>
      <c r="K19" s="227">
        <f t="shared" si="7"/>
        <v>2.4</v>
      </c>
      <c r="L19" s="213">
        <f>K19*Tabellen!V6</f>
        <v>74.399999999999991</v>
      </c>
    </row>
    <row r="20" spans="2:23" x14ac:dyDescent="0.35">
      <c r="B20" t="s">
        <v>414</v>
      </c>
      <c r="C20" s="495" t="s">
        <v>415</v>
      </c>
      <c r="D20" s="495"/>
      <c r="F20" s="203">
        <v>1</v>
      </c>
      <c r="G20" s="213">
        <v>4.7</v>
      </c>
      <c r="H20" s="227">
        <v>0.1</v>
      </c>
      <c r="I20" s="202">
        <f>H6</f>
        <v>120</v>
      </c>
      <c r="J20" s="213">
        <f t="shared" si="6"/>
        <v>564</v>
      </c>
      <c r="K20" s="227">
        <f t="shared" si="7"/>
        <v>12</v>
      </c>
      <c r="L20" s="213">
        <f>K20*Tabellen!V7</f>
        <v>372</v>
      </c>
    </row>
    <row r="21" spans="2:23" x14ac:dyDescent="0.35">
      <c r="C21" s="495"/>
      <c r="D21" s="495"/>
      <c r="G21" s="213"/>
      <c r="H21" s="227"/>
      <c r="J21" s="213"/>
      <c r="K21" s="227"/>
      <c r="L21" s="213"/>
      <c r="P21" s="207"/>
    </row>
    <row r="22" spans="2:23" x14ac:dyDescent="0.35">
      <c r="B22" t="s">
        <v>416</v>
      </c>
      <c r="C22" s="495" t="s">
        <v>417</v>
      </c>
      <c r="D22" s="495"/>
      <c r="F22" s="202">
        <v>1</v>
      </c>
      <c r="G22" s="213">
        <v>45</v>
      </c>
      <c r="H22" s="227">
        <v>0.05</v>
      </c>
      <c r="I22" s="202">
        <f>J6+F6*0.2</f>
        <v>45.4</v>
      </c>
      <c r="J22" s="213">
        <f t="shared" si="6"/>
        <v>2043</v>
      </c>
      <c r="K22" s="227">
        <f t="shared" si="7"/>
        <v>2.27</v>
      </c>
      <c r="L22" s="213">
        <f>K22*Tabellen!V9</f>
        <v>70.37</v>
      </c>
      <c r="M22" s="208"/>
      <c r="P22" s="206"/>
    </row>
    <row r="23" spans="2:23" x14ac:dyDescent="0.35">
      <c r="B23" t="s">
        <v>418</v>
      </c>
      <c r="C23" s="495" t="s">
        <v>419</v>
      </c>
      <c r="D23" s="495"/>
      <c r="F23" s="202">
        <v>1</v>
      </c>
      <c r="G23" s="213">
        <v>89</v>
      </c>
      <c r="H23" s="227">
        <v>0.5</v>
      </c>
      <c r="I23" s="202">
        <f>J6+F6*0.2</f>
        <v>45.4</v>
      </c>
      <c r="J23" s="213">
        <f t="shared" si="6"/>
        <v>4040.6</v>
      </c>
      <c r="K23" s="227">
        <f t="shared" si="7"/>
        <v>22.7</v>
      </c>
      <c r="L23" s="213">
        <f>K23*Tabellen!V10</f>
        <v>703.69999999999993</v>
      </c>
      <c r="M23" s="208"/>
      <c r="P23" s="205"/>
    </row>
    <row r="24" spans="2:23" x14ac:dyDescent="0.35">
      <c r="B24" t="s">
        <v>420</v>
      </c>
      <c r="C24" s="495" t="s">
        <v>421</v>
      </c>
      <c r="D24" s="495"/>
      <c r="F24" s="202">
        <v>1</v>
      </c>
      <c r="G24" s="213">
        <v>34</v>
      </c>
      <c r="H24" s="227">
        <v>0.1</v>
      </c>
      <c r="I24" s="202">
        <f>0.5*G6</f>
        <v>100</v>
      </c>
      <c r="J24" s="213">
        <f t="shared" si="6"/>
        <v>3400</v>
      </c>
      <c r="K24" s="227">
        <f t="shared" si="7"/>
        <v>10</v>
      </c>
      <c r="L24" s="213">
        <f>K24*Tabellen!V11</f>
        <v>310</v>
      </c>
      <c r="M24" s="208"/>
    </row>
    <row r="25" spans="2:23" x14ac:dyDescent="0.35">
      <c r="C25" s="495"/>
      <c r="D25" s="495"/>
      <c r="G25" s="213"/>
      <c r="H25" s="227"/>
      <c r="J25" s="213"/>
      <c r="K25" s="227"/>
      <c r="L25" s="213"/>
      <c r="M25" s="208"/>
    </row>
    <row r="26" spans="2:23" x14ac:dyDescent="0.35">
      <c r="B26" t="s">
        <v>422</v>
      </c>
      <c r="C26" s="495" t="s">
        <v>423</v>
      </c>
      <c r="D26" s="495"/>
      <c r="F26" s="266">
        <v>0.5</v>
      </c>
      <c r="G26" s="213">
        <v>6.8</v>
      </c>
      <c r="H26" s="227">
        <v>0.02</v>
      </c>
      <c r="I26" s="202">
        <f>F26*D43</f>
        <v>0</v>
      </c>
      <c r="J26" s="213">
        <f t="shared" si="6"/>
        <v>0</v>
      </c>
      <c r="K26" s="227">
        <f t="shared" si="7"/>
        <v>0</v>
      </c>
      <c r="L26" s="213">
        <f>K26*Tabellen!V13</f>
        <v>0</v>
      </c>
      <c r="M26" s="208"/>
    </row>
    <row r="27" spans="2:23" x14ac:dyDescent="0.35">
      <c r="B27" t="s">
        <v>424</v>
      </c>
      <c r="C27" s="495" t="s">
        <v>425</v>
      </c>
      <c r="D27" s="495"/>
      <c r="F27" s="202">
        <v>2</v>
      </c>
      <c r="G27" s="213">
        <v>11.4</v>
      </c>
      <c r="H27" s="227">
        <v>0.02</v>
      </c>
      <c r="I27" s="202">
        <f>F27*B43</f>
        <v>4</v>
      </c>
      <c r="J27" s="213">
        <f t="shared" si="6"/>
        <v>45.6</v>
      </c>
      <c r="K27" s="227">
        <f t="shared" si="7"/>
        <v>0.08</v>
      </c>
      <c r="L27" s="213">
        <f>K27*Tabellen!V14</f>
        <v>2.48</v>
      </c>
      <c r="M27" s="208"/>
    </row>
    <row r="28" spans="2:23" x14ac:dyDescent="0.35">
      <c r="B28" t="s">
        <v>426</v>
      </c>
      <c r="C28" s="495" t="s">
        <v>113</v>
      </c>
      <c r="D28" s="495"/>
      <c r="F28" s="202">
        <v>2</v>
      </c>
      <c r="G28" s="213">
        <v>57</v>
      </c>
      <c r="H28" s="227">
        <v>0.1</v>
      </c>
      <c r="I28" s="202">
        <f>F28*B43</f>
        <v>4</v>
      </c>
      <c r="J28" s="213">
        <f t="shared" si="6"/>
        <v>228</v>
      </c>
      <c r="K28" s="227">
        <f t="shared" si="7"/>
        <v>0.4</v>
      </c>
      <c r="L28" s="213">
        <f>K28*Tabellen!V15</f>
        <v>12.4</v>
      </c>
      <c r="M28" s="208"/>
    </row>
    <row r="29" spans="2:23" x14ac:dyDescent="0.35">
      <c r="B29" t="s">
        <v>427</v>
      </c>
      <c r="C29" s="495" t="s">
        <v>428</v>
      </c>
      <c r="D29" s="495"/>
      <c r="F29" t="s">
        <v>433</v>
      </c>
      <c r="G29" s="213">
        <v>14.5</v>
      </c>
      <c r="H29" s="227">
        <v>0.05</v>
      </c>
      <c r="I29" s="203">
        <f>D43</f>
        <v>0</v>
      </c>
      <c r="J29" s="213">
        <f t="shared" si="6"/>
        <v>0</v>
      </c>
      <c r="K29" s="227">
        <f t="shared" si="7"/>
        <v>0</v>
      </c>
      <c r="L29" s="213">
        <f>K29*Tabellen!V16</f>
        <v>0</v>
      </c>
      <c r="M29" s="208"/>
    </row>
    <row r="30" spans="2:23" x14ac:dyDescent="0.35">
      <c r="C30" s="495" t="s">
        <v>429</v>
      </c>
      <c r="D30" s="495"/>
      <c r="F30" t="s">
        <v>433</v>
      </c>
      <c r="G30" s="213">
        <v>1</v>
      </c>
      <c r="H30" s="227"/>
      <c r="I30" s="203">
        <f>D43</f>
        <v>0</v>
      </c>
      <c r="J30" s="213">
        <f t="shared" si="6"/>
        <v>0</v>
      </c>
      <c r="K30" s="227">
        <f t="shared" si="7"/>
        <v>0</v>
      </c>
      <c r="L30" s="213">
        <f>K30*Tabellen!V17</f>
        <v>0</v>
      </c>
      <c r="M30" s="208"/>
    </row>
    <row r="31" spans="2:23" x14ac:dyDescent="0.35">
      <c r="C31" s="495"/>
      <c r="D31" s="495"/>
      <c r="H31" s="227"/>
      <c r="J31" s="213"/>
      <c r="K31" s="227"/>
      <c r="L31" s="213"/>
      <c r="M31" s="208"/>
    </row>
    <row r="32" spans="2:23" x14ac:dyDescent="0.35">
      <c r="B32" t="s">
        <v>430</v>
      </c>
      <c r="C32" s="495" t="s">
        <v>431</v>
      </c>
      <c r="D32" s="495"/>
      <c r="G32" s="213">
        <v>2.15</v>
      </c>
      <c r="H32" s="227">
        <v>0.01</v>
      </c>
      <c r="I32" s="203">
        <f>E10*0.5</f>
        <v>282.5</v>
      </c>
      <c r="J32" s="213">
        <f t="shared" si="6"/>
        <v>607.375</v>
      </c>
      <c r="K32" s="227">
        <f t="shared" si="7"/>
        <v>2.8250000000000002</v>
      </c>
      <c r="L32" s="213">
        <f>K32*Tabellen!V19</f>
        <v>87.575000000000003</v>
      </c>
      <c r="M32" s="208"/>
    </row>
    <row r="33" spans="1:13" x14ac:dyDescent="0.35">
      <c r="C33" s="495" t="s">
        <v>432</v>
      </c>
      <c r="D33" s="495"/>
      <c r="G33" s="213">
        <v>0.6</v>
      </c>
      <c r="H33" s="227"/>
      <c r="I33" s="203">
        <f>E10</f>
        <v>565</v>
      </c>
      <c r="J33" s="213">
        <f t="shared" si="6"/>
        <v>339</v>
      </c>
      <c r="K33" s="227">
        <f t="shared" si="7"/>
        <v>0</v>
      </c>
      <c r="L33" s="213">
        <f>K33*Tabellen!V20</f>
        <v>0</v>
      </c>
    </row>
    <row r="34" spans="1:13" x14ac:dyDescent="0.35">
      <c r="J34" s="267">
        <f>SUM(J16:J33)</f>
        <v>14603.575000000001</v>
      </c>
      <c r="K34" s="268">
        <f>SUM(K16:K33)</f>
        <v>69.475000000000009</v>
      </c>
      <c r="L34" s="267">
        <f>SUM(L16:L33)</f>
        <v>2153.7249999999999</v>
      </c>
    </row>
    <row r="35" spans="1:13" x14ac:dyDescent="0.35">
      <c r="F35" s="202"/>
      <c r="G35" s="203"/>
      <c r="K35" s="203"/>
      <c r="L35" s="209"/>
      <c r="M35" s="208"/>
    </row>
    <row r="36" spans="1:13" x14ac:dyDescent="0.35">
      <c r="B36" s="210"/>
      <c r="L36" s="209"/>
      <c r="M36" s="208"/>
    </row>
    <row r="37" spans="1:13" x14ac:dyDescent="0.35">
      <c r="A37" s="496" t="s">
        <v>435</v>
      </c>
      <c r="B37" s="208" t="s">
        <v>24</v>
      </c>
      <c r="C37" t="s">
        <v>436</v>
      </c>
    </row>
    <row r="38" spans="1:13" x14ac:dyDescent="0.35">
      <c r="A38" s="496"/>
      <c r="B38" s="269">
        <v>2</v>
      </c>
      <c r="C38" s="270"/>
      <c r="D38" s="203">
        <f>B38*C38</f>
        <v>0</v>
      </c>
    </row>
    <row r="39" spans="1:13" x14ac:dyDescent="0.35">
      <c r="A39" s="496"/>
      <c r="B39" s="269"/>
      <c r="C39" s="270"/>
      <c r="D39" s="203">
        <f t="shared" ref="D39:D42" si="8">B39*C39</f>
        <v>0</v>
      </c>
    </row>
    <row r="40" spans="1:13" x14ac:dyDescent="0.35">
      <c r="B40" s="269"/>
      <c r="C40" s="270"/>
      <c r="D40" s="203">
        <f t="shared" si="8"/>
        <v>0</v>
      </c>
      <c r="E40" s="213"/>
      <c r="H40" s="213"/>
      <c r="I40" s="213"/>
    </row>
    <row r="41" spans="1:13" x14ac:dyDescent="0.35">
      <c r="B41" s="269"/>
      <c r="C41" s="270"/>
      <c r="D41" s="203">
        <f t="shared" si="8"/>
        <v>0</v>
      </c>
      <c r="E41" s="213"/>
      <c r="H41" s="213"/>
      <c r="I41" s="213"/>
      <c r="J41" s="213"/>
    </row>
    <row r="42" spans="1:13" x14ac:dyDescent="0.35">
      <c r="B42" s="269"/>
      <c r="C42" s="270"/>
      <c r="D42" s="203">
        <f t="shared" si="8"/>
        <v>0</v>
      </c>
      <c r="E42" s="213"/>
      <c r="I42" s="214"/>
    </row>
    <row r="43" spans="1:13" x14ac:dyDescent="0.35">
      <c r="B43" s="278">
        <f>SUM(B38:B42)</f>
        <v>2</v>
      </c>
      <c r="C43" s="203"/>
      <c r="D43" s="277">
        <f>SUM(D38:D42)</f>
        <v>0</v>
      </c>
    </row>
    <row r="44" spans="1:13" x14ac:dyDescent="0.35">
      <c r="E44" s="213"/>
    </row>
    <row r="55" spans="3:9" x14ac:dyDescent="0.35">
      <c r="I55" s="265"/>
    </row>
    <row r="56" spans="3:9" x14ac:dyDescent="0.35">
      <c r="C56" s="210"/>
      <c r="D56" s="210"/>
      <c r="E56" s="210"/>
      <c r="F56" s="210"/>
      <c r="G56" s="237"/>
      <c r="H56" s="265"/>
      <c r="I56" s="210"/>
    </row>
  </sheetData>
  <mergeCells count="23">
    <mergeCell ref="P7:P8"/>
    <mergeCell ref="P9:P10"/>
    <mergeCell ref="P15:P16"/>
    <mergeCell ref="C33:D33"/>
    <mergeCell ref="A37:A39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C16:D16"/>
    <mergeCell ref="C17:D17"/>
    <mergeCell ref="C18:D18"/>
    <mergeCell ref="C15:D15"/>
    <mergeCell ref="C19:D19"/>
    <mergeCell ref="C20:D20"/>
  </mergeCells>
  <pageMargins left="0.7" right="0.7" top="0.78740157499999996" bottom="0.78740157499999996" header="0.3" footer="0.3"/>
  <pageSetup paperSize="9" orientation="landscape" r:id="rId1"/>
  <headerFooter alignWithMargins="0">
    <oddHeader>&amp;C&amp;"-,Fett"&amp;12Übersicht Mengen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X81"/>
  <sheetViews>
    <sheetView zoomScaleNormal="100" workbookViewId="0">
      <pane ySplit="4" topLeftCell="A41" activePane="bottomLeft" state="frozen"/>
      <selection pane="bottomLeft" activeCell="H52" sqref="H52"/>
    </sheetView>
  </sheetViews>
  <sheetFormatPr baseColWidth="10" defaultRowHeight="14.5" x14ac:dyDescent="0.35"/>
  <cols>
    <col min="1" max="1" width="18.453125" bestFit="1" customWidth="1"/>
    <col min="2" max="2" width="11.54296875" bestFit="1" customWidth="1"/>
    <col min="3" max="16" width="10.453125" bestFit="1" customWidth="1"/>
    <col min="17" max="17" width="10.81640625" customWidth="1"/>
    <col min="18" max="18" width="7.81640625" customWidth="1"/>
    <col min="19" max="19" width="10.453125" bestFit="1" customWidth="1"/>
    <col min="20" max="20" width="8.453125" customWidth="1"/>
    <col min="21" max="21" width="10.54296875" customWidth="1"/>
    <col min="22" max="22" width="9" customWidth="1"/>
  </cols>
  <sheetData>
    <row r="1" spans="1:21" ht="24.75" customHeight="1" thickBot="1" x14ac:dyDescent="0.4">
      <c r="A1" s="101" t="s">
        <v>74</v>
      </c>
      <c r="B1" s="102" t="str">
        <f>Übersicht!C3</f>
        <v>Faurecia Entwurf 1</v>
      </c>
      <c r="C1" s="102"/>
      <c r="D1" s="102"/>
      <c r="E1" s="102" t="s">
        <v>75</v>
      </c>
      <c r="F1" s="102">
        <f>Übersicht!D3</f>
        <v>44322</v>
      </c>
      <c r="G1" s="102"/>
      <c r="H1" s="102"/>
      <c r="I1" s="102"/>
      <c r="J1" s="102"/>
      <c r="K1" s="102"/>
      <c r="L1" s="102"/>
      <c r="M1" s="102"/>
      <c r="N1" s="102" t="s">
        <v>33</v>
      </c>
      <c r="O1" s="105" t="str">
        <f>Übersicht!D2</f>
        <v>Datum</v>
      </c>
      <c r="P1" s="102"/>
      <c r="Q1" s="102"/>
      <c r="R1" s="102"/>
      <c r="S1" s="272"/>
      <c r="T1" s="272"/>
    </row>
    <row r="2" spans="1:21" ht="24.75" customHeight="1" x14ac:dyDescent="0.35">
      <c r="A2" s="100" t="s">
        <v>126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273" t="s">
        <v>127</v>
      </c>
      <c r="T2" s="274"/>
      <c r="U2" s="72"/>
    </row>
    <row r="3" spans="1:21" x14ac:dyDescent="0.35">
      <c r="A3" s="108" t="s">
        <v>39</v>
      </c>
      <c r="B3" s="108" t="s">
        <v>14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275" t="s">
        <v>39</v>
      </c>
      <c r="T3" s="239" t="s">
        <v>14</v>
      </c>
      <c r="U3" s="74"/>
    </row>
    <row r="4" spans="1:21" x14ac:dyDescent="0.35">
      <c r="B4" t="s">
        <v>111</v>
      </c>
      <c r="C4" t="s">
        <v>112</v>
      </c>
      <c r="D4" t="s">
        <v>113</v>
      </c>
      <c r="E4" t="s">
        <v>114</v>
      </c>
      <c r="F4" t="s">
        <v>115</v>
      </c>
      <c r="G4" t="s">
        <v>116</v>
      </c>
      <c r="H4" t="s">
        <v>149</v>
      </c>
      <c r="I4" t="s">
        <v>117</v>
      </c>
      <c r="J4" t="s">
        <v>118</v>
      </c>
      <c r="K4" t="s">
        <v>119</v>
      </c>
      <c r="L4" t="s">
        <v>16</v>
      </c>
      <c r="M4" t="s">
        <v>120</v>
      </c>
      <c r="N4" t="s">
        <v>121</v>
      </c>
      <c r="O4" t="s">
        <v>11</v>
      </c>
      <c r="P4" t="s">
        <v>440</v>
      </c>
      <c r="Q4" t="s">
        <v>441</v>
      </c>
      <c r="R4" t="s">
        <v>460</v>
      </c>
      <c r="S4" s="73"/>
      <c r="T4" s="32" t="s">
        <v>128</v>
      </c>
      <c r="U4" s="276" t="s">
        <v>348</v>
      </c>
    </row>
    <row r="5" spans="1:21" x14ac:dyDescent="0.35">
      <c r="A5" s="160" t="str">
        <f>'AP und Sort'!G1</f>
        <v>AP und Sort</v>
      </c>
      <c r="B5">
        <f>'AP und Sort'!D15</f>
        <v>8</v>
      </c>
      <c r="C5">
        <f>'AP und Sort'!D15-'AP und Sort'!D14</f>
        <v>8</v>
      </c>
      <c r="D5">
        <f>'AP und Sort'!G15</f>
        <v>10</v>
      </c>
      <c r="E5">
        <f>'AP und Sort'!H15</f>
        <v>5</v>
      </c>
      <c r="F5">
        <f>'AP und Sort'!I15</f>
        <v>19</v>
      </c>
      <c r="G5">
        <f>'AP und Sort'!I28</f>
        <v>44</v>
      </c>
      <c r="H5">
        <f>'AP und Sort'!D28-'AP und Sort'!D27</f>
        <v>42</v>
      </c>
      <c r="I5">
        <f>'AP und Sort'!D34</f>
        <v>0</v>
      </c>
      <c r="J5">
        <f>'AP und Sort'!D35</f>
        <v>0</v>
      </c>
      <c r="K5">
        <f>'AP und Sort'!D36</f>
        <v>0</v>
      </c>
      <c r="L5">
        <f>'AP und Sort'!D30</f>
        <v>4</v>
      </c>
      <c r="M5">
        <f>'AP und Sort'!D32+'AP und Sort'!D37</f>
        <v>0</v>
      </c>
      <c r="N5">
        <f>'AP und Sort'!F15</f>
        <v>4</v>
      </c>
      <c r="O5">
        <f>'AP und Sort'!J15+'AP und Sort'!J28</f>
        <v>8</v>
      </c>
      <c r="S5" s="73" t="str">
        <f t="shared" ref="S5:S29" si="0">A5</f>
        <v>AP und Sort</v>
      </c>
      <c r="T5" s="32">
        <f>'AP und Sort'!E15</f>
        <v>195</v>
      </c>
      <c r="U5" s="74">
        <v>1</v>
      </c>
    </row>
    <row r="6" spans="1:21" x14ac:dyDescent="0.35">
      <c r="A6" s="160" t="str">
        <f>Puffer!G1</f>
        <v>Puffer</v>
      </c>
      <c r="B6">
        <f>Puffer!D15</f>
        <v>31</v>
      </c>
      <c r="C6">
        <f>Puffer!D15-Puffer!D14</f>
        <v>19</v>
      </c>
      <c r="D6">
        <f>Puffer!G15</f>
        <v>12</v>
      </c>
      <c r="E6">
        <f>Puffer!H15</f>
        <v>24</v>
      </c>
      <c r="F6">
        <f>Puffer!I15</f>
        <v>38</v>
      </c>
      <c r="G6">
        <f>Puffer!I28</f>
        <v>156</v>
      </c>
      <c r="H6">
        <f>Puffer!D28-Puffer!D27</f>
        <v>78</v>
      </c>
      <c r="I6">
        <f>Puffer!D34</f>
        <v>0</v>
      </c>
      <c r="J6">
        <f>Puffer!D35</f>
        <v>0</v>
      </c>
      <c r="K6">
        <f>Puffer!D36</f>
        <v>0</v>
      </c>
      <c r="L6">
        <f>Puffer!D30</f>
        <v>6</v>
      </c>
      <c r="M6">
        <f>Puffer!D32+Puffer!D37</f>
        <v>0</v>
      </c>
      <c r="N6">
        <f>Puffer!F15</f>
        <v>6</v>
      </c>
      <c r="O6">
        <f>Puffer!J15+Puffer!J28</f>
        <v>26</v>
      </c>
      <c r="S6" s="73" t="str">
        <f t="shared" si="0"/>
        <v>Puffer</v>
      </c>
      <c r="T6" s="32">
        <f>Puffer!E15</f>
        <v>518</v>
      </c>
      <c r="U6" s="74">
        <f>U5+1</f>
        <v>2</v>
      </c>
    </row>
    <row r="7" spans="1:21" x14ac:dyDescent="0.35">
      <c r="A7" s="160">
        <f>'3'!G1</f>
        <v>0</v>
      </c>
      <c r="B7">
        <f>'3'!D15</f>
        <v>0</v>
      </c>
      <c r="C7">
        <f>'3'!D15-'3'!D14</f>
        <v>0</v>
      </c>
      <c r="D7">
        <f>'3'!G15</f>
        <v>0</v>
      </c>
      <c r="E7">
        <f>'3'!H15</f>
        <v>0</v>
      </c>
      <c r="F7">
        <f>'3'!I15</f>
        <v>0</v>
      </c>
      <c r="G7">
        <f>'3'!I28</f>
        <v>0</v>
      </c>
      <c r="H7">
        <f>'3'!D28-'3'!D27</f>
        <v>0</v>
      </c>
      <c r="I7">
        <f>'3'!D34</f>
        <v>0</v>
      </c>
      <c r="J7">
        <f>'3'!D35</f>
        <v>0</v>
      </c>
      <c r="K7">
        <f>'3'!D36</f>
        <v>0</v>
      </c>
      <c r="L7">
        <f>'3'!D30</f>
        <v>0</v>
      </c>
      <c r="M7">
        <f>'3'!D32+'3'!D37</f>
        <v>0</v>
      </c>
      <c r="N7">
        <f>'3'!F15</f>
        <v>0</v>
      </c>
      <c r="O7">
        <f>'3'!J15+'3'!J28</f>
        <v>0</v>
      </c>
      <c r="S7" s="73">
        <f t="shared" si="0"/>
        <v>0</v>
      </c>
      <c r="T7" s="32">
        <f>'3'!E15</f>
        <v>0</v>
      </c>
      <c r="U7" s="74">
        <f t="shared" ref="U7:U29" si="1">U6+1</f>
        <v>3</v>
      </c>
    </row>
    <row r="8" spans="1:21" x14ac:dyDescent="0.35">
      <c r="A8" s="160">
        <f>'4'!G1</f>
        <v>0</v>
      </c>
      <c r="B8">
        <f>'4'!D15</f>
        <v>0</v>
      </c>
      <c r="C8">
        <f>'4'!D15-'4'!D14</f>
        <v>0</v>
      </c>
      <c r="D8">
        <f>'4'!G15</f>
        <v>0</v>
      </c>
      <c r="E8">
        <f>'4'!H15</f>
        <v>0</v>
      </c>
      <c r="F8">
        <f>'4'!I15</f>
        <v>0</v>
      </c>
      <c r="G8">
        <f>'4'!I28</f>
        <v>0</v>
      </c>
      <c r="H8">
        <f>'4'!D28-'4'!D27</f>
        <v>0</v>
      </c>
      <c r="I8">
        <f>'4'!D34</f>
        <v>0</v>
      </c>
      <c r="J8">
        <f>'4'!D35</f>
        <v>0</v>
      </c>
      <c r="K8">
        <f>'4'!D36</f>
        <v>0</v>
      </c>
      <c r="L8">
        <f>'4'!D30</f>
        <v>0</v>
      </c>
      <c r="M8">
        <f>'4'!D32+'4'!D37</f>
        <v>0</v>
      </c>
      <c r="N8">
        <f>'4'!F15</f>
        <v>0</v>
      </c>
      <c r="O8">
        <f>'4'!J15+'4'!J28</f>
        <v>0</v>
      </c>
      <c r="S8" s="73">
        <f t="shared" si="0"/>
        <v>0</v>
      </c>
      <c r="T8" s="32">
        <f>'4'!E15</f>
        <v>0</v>
      </c>
      <c r="U8" s="74">
        <f t="shared" si="1"/>
        <v>4</v>
      </c>
    </row>
    <row r="9" spans="1:21" x14ac:dyDescent="0.35">
      <c r="A9" s="160">
        <f>'5'!G1</f>
        <v>0</v>
      </c>
      <c r="B9">
        <f>'5'!D15</f>
        <v>0</v>
      </c>
      <c r="C9">
        <f>'5'!D15-'5'!D14</f>
        <v>0</v>
      </c>
      <c r="D9">
        <f>'5'!G15</f>
        <v>0</v>
      </c>
      <c r="E9">
        <f>'5'!H15</f>
        <v>0</v>
      </c>
      <c r="F9">
        <f>'5'!I15</f>
        <v>0</v>
      </c>
      <c r="G9">
        <f>'5'!I28</f>
        <v>0</v>
      </c>
      <c r="H9">
        <f>'5'!D28-'5'!D27</f>
        <v>0</v>
      </c>
      <c r="I9">
        <f>'5'!D34</f>
        <v>0</v>
      </c>
      <c r="J9">
        <f>'5'!D35</f>
        <v>0</v>
      </c>
      <c r="K9">
        <f>'5'!D36</f>
        <v>0</v>
      </c>
      <c r="L9">
        <f>'5'!D30</f>
        <v>0</v>
      </c>
      <c r="M9">
        <f>'5'!D32+'5'!D37</f>
        <v>0</v>
      </c>
      <c r="N9">
        <f>'5'!F15</f>
        <v>0</v>
      </c>
      <c r="O9">
        <f>'5'!J15+'5'!J28</f>
        <v>0</v>
      </c>
      <c r="S9" s="73">
        <f t="shared" si="0"/>
        <v>0</v>
      </c>
      <c r="T9" s="32">
        <f>'5'!E15</f>
        <v>0</v>
      </c>
      <c r="U9" s="74">
        <f t="shared" si="1"/>
        <v>5</v>
      </c>
    </row>
    <row r="10" spans="1:21" x14ac:dyDescent="0.35">
      <c r="A10" s="160">
        <f>'6'!G1</f>
        <v>0</v>
      </c>
      <c r="B10">
        <f>'6'!D15</f>
        <v>0</v>
      </c>
      <c r="C10">
        <f>'6'!D15-'6'!D14</f>
        <v>0</v>
      </c>
      <c r="D10">
        <f>'6'!G15</f>
        <v>0</v>
      </c>
      <c r="E10">
        <f>'6'!H15</f>
        <v>0</v>
      </c>
      <c r="F10">
        <f>'6'!I15</f>
        <v>0</v>
      </c>
      <c r="G10">
        <f>'6'!I28</f>
        <v>0</v>
      </c>
      <c r="H10">
        <f>'6'!D28-'6'!D27</f>
        <v>0</v>
      </c>
      <c r="I10">
        <f>'6'!D34</f>
        <v>0</v>
      </c>
      <c r="J10">
        <f>'6'!D35</f>
        <v>0</v>
      </c>
      <c r="K10">
        <f>'6'!D36</f>
        <v>0</v>
      </c>
      <c r="L10">
        <f>'6'!D30</f>
        <v>0</v>
      </c>
      <c r="M10">
        <f>'6'!D32+'6'!D37</f>
        <v>0</v>
      </c>
      <c r="N10">
        <f>'6'!F15</f>
        <v>0</v>
      </c>
      <c r="O10">
        <f>'6'!J15+'6'!J28</f>
        <v>0</v>
      </c>
      <c r="S10" s="73">
        <f t="shared" si="0"/>
        <v>0</v>
      </c>
      <c r="T10" s="32">
        <f>'6'!E15</f>
        <v>0</v>
      </c>
      <c r="U10" s="74">
        <f t="shared" si="1"/>
        <v>6</v>
      </c>
    </row>
    <row r="11" spans="1:21" x14ac:dyDescent="0.35">
      <c r="A11" s="160">
        <f>'7'!G1</f>
        <v>0</v>
      </c>
      <c r="B11">
        <f>'7'!D15</f>
        <v>0</v>
      </c>
      <c r="C11">
        <f>'7'!D15-'7'!D14</f>
        <v>0</v>
      </c>
      <c r="D11">
        <f>'7'!G15</f>
        <v>0</v>
      </c>
      <c r="E11">
        <f>'7'!H15</f>
        <v>0</v>
      </c>
      <c r="F11">
        <f>'7'!I15</f>
        <v>0</v>
      </c>
      <c r="G11">
        <f>'7'!I28</f>
        <v>0</v>
      </c>
      <c r="H11">
        <f>'7'!D28-'7'!D27</f>
        <v>0</v>
      </c>
      <c r="I11">
        <f>'7'!D34</f>
        <v>0</v>
      </c>
      <c r="J11">
        <f>'7'!D35</f>
        <v>0</v>
      </c>
      <c r="K11">
        <f>'7'!D36</f>
        <v>0</v>
      </c>
      <c r="L11">
        <f>'7'!D30</f>
        <v>0</v>
      </c>
      <c r="M11">
        <f>'7'!D32+'7'!D37</f>
        <v>0</v>
      </c>
      <c r="N11">
        <f>'7'!F15</f>
        <v>0</v>
      </c>
      <c r="O11">
        <f>'7'!J15+'7'!J28</f>
        <v>0</v>
      </c>
      <c r="S11" s="73">
        <f t="shared" si="0"/>
        <v>0</v>
      </c>
      <c r="T11" s="32">
        <f>'7'!E15</f>
        <v>0</v>
      </c>
      <c r="U11" s="74">
        <f t="shared" si="1"/>
        <v>7</v>
      </c>
    </row>
    <row r="12" spans="1:21" x14ac:dyDescent="0.35">
      <c r="A12" s="160">
        <f>'8'!G1</f>
        <v>0</v>
      </c>
      <c r="B12">
        <f>'8'!D15</f>
        <v>0</v>
      </c>
      <c r="C12">
        <f>'8'!D15-'8'!D14</f>
        <v>0</v>
      </c>
      <c r="D12">
        <f>'8'!G15</f>
        <v>0</v>
      </c>
      <c r="E12">
        <f>'8'!H15</f>
        <v>0</v>
      </c>
      <c r="F12">
        <f>'8'!I15</f>
        <v>0</v>
      </c>
      <c r="G12">
        <f>'8'!I28</f>
        <v>0</v>
      </c>
      <c r="H12">
        <f>'8'!D28-'8'!D27</f>
        <v>0</v>
      </c>
      <c r="I12">
        <f>'8'!D34</f>
        <v>0</v>
      </c>
      <c r="J12">
        <f>'8'!D35</f>
        <v>0</v>
      </c>
      <c r="K12">
        <f>'8'!D36</f>
        <v>0</v>
      </c>
      <c r="L12">
        <f>'8'!D30</f>
        <v>0</v>
      </c>
      <c r="M12">
        <f>'8'!D32+'8'!D37</f>
        <v>0</v>
      </c>
      <c r="N12">
        <f>'8'!F15</f>
        <v>0</v>
      </c>
      <c r="O12">
        <f>'8'!J15+'8'!J28</f>
        <v>0</v>
      </c>
      <c r="S12" s="73">
        <f t="shared" si="0"/>
        <v>0</v>
      </c>
      <c r="T12" s="32">
        <f>'8'!E15</f>
        <v>0</v>
      </c>
      <c r="U12" s="74">
        <f t="shared" si="1"/>
        <v>8</v>
      </c>
    </row>
    <row r="13" spans="1:21" x14ac:dyDescent="0.35">
      <c r="A13" s="160">
        <f>'9'!G1</f>
        <v>0</v>
      </c>
      <c r="B13">
        <f>'9'!D15</f>
        <v>0</v>
      </c>
      <c r="C13">
        <f>'9'!D15-'9'!D14</f>
        <v>0</v>
      </c>
      <c r="D13">
        <f>'9'!G15</f>
        <v>0</v>
      </c>
      <c r="E13">
        <f>'9'!H15</f>
        <v>0</v>
      </c>
      <c r="F13">
        <f>'9'!I15</f>
        <v>0</v>
      </c>
      <c r="G13">
        <f>'9'!I28</f>
        <v>0</v>
      </c>
      <c r="H13">
        <f>'9'!D28-'9'!D27</f>
        <v>0</v>
      </c>
      <c r="I13">
        <f>'9'!D34</f>
        <v>0</v>
      </c>
      <c r="J13">
        <f>'9'!D35</f>
        <v>0</v>
      </c>
      <c r="K13">
        <f>'9'!D36</f>
        <v>0</v>
      </c>
      <c r="L13">
        <f>'9'!D30</f>
        <v>0</v>
      </c>
      <c r="M13">
        <f>'9'!D32+'9'!D37</f>
        <v>0</v>
      </c>
      <c r="N13">
        <f>'9'!F15</f>
        <v>0</v>
      </c>
      <c r="O13">
        <f>'9'!J15+'9'!J28</f>
        <v>0</v>
      </c>
      <c r="S13" s="73">
        <f t="shared" si="0"/>
        <v>0</v>
      </c>
      <c r="T13" s="32">
        <f>'9'!E15</f>
        <v>0</v>
      </c>
      <c r="U13" s="74">
        <f t="shared" si="1"/>
        <v>9</v>
      </c>
    </row>
    <row r="14" spans="1:21" x14ac:dyDescent="0.35">
      <c r="A14" s="160">
        <f>'10'!G1</f>
        <v>0</v>
      </c>
      <c r="B14">
        <f>'10'!D15</f>
        <v>0</v>
      </c>
      <c r="C14">
        <f>'10'!D15-'10'!D14</f>
        <v>0</v>
      </c>
      <c r="D14">
        <f>'10'!G15</f>
        <v>0</v>
      </c>
      <c r="E14">
        <f>'10'!H15</f>
        <v>0</v>
      </c>
      <c r="F14">
        <f>'10'!I15</f>
        <v>0</v>
      </c>
      <c r="G14">
        <f>'10'!I28</f>
        <v>0</v>
      </c>
      <c r="H14">
        <f>'10'!D28-'10'!D27</f>
        <v>0</v>
      </c>
      <c r="I14">
        <f>'10'!D34</f>
        <v>0</v>
      </c>
      <c r="J14">
        <f>'10'!D35</f>
        <v>0</v>
      </c>
      <c r="K14">
        <f>'10'!D36</f>
        <v>0</v>
      </c>
      <c r="L14">
        <f>'10'!D30</f>
        <v>0</v>
      </c>
      <c r="M14">
        <f>'10'!D32+'10'!D37</f>
        <v>0</v>
      </c>
      <c r="N14">
        <f>'10'!F15</f>
        <v>0</v>
      </c>
      <c r="O14">
        <f>'10'!J15+'10'!J28</f>
        <v>0</v>
      </c>
      <c r="S14" s="73">
        <f t="shared" si="0"/>
        <v>0</v>
      </c>
      <c r="T14" s="32">
        <f>'10'!E15</f>
        <v>0</v>
      </c>
      <c r="U14" s="74">
        <f t="shared" si="1"/>
        <v>10</v>
      </c>
    </row>
    <row r="15" spans="1:21" x14ac:dyDescent="0.35">
      <c r="A15" s="160">
        <f>'11'!G1</f>
        <v>0</v>
      </c>
      <c r="B15">
        <f>'11'!D15</f>
        <v>0</v>
      </c>
      <c r="C15">
        <f>'11'!D15-'11'!D14</f>
        <v>0</v>
      </c>
      <c r="D15">
        <f>'11'!G15</f>
        <v>0</v>
      </c>
      <c r="E15">
        <f>'11'!H15</f>
        <v>0</v>
      </c>
      <c r="F15">
        <f>'11'!I15</f>
        <v>0</v>
      </c>
      <c r="G15">
        <f>'11'!I28</f>
        <v>0</v>
      </c>
      <c r="H15">
        <f>'11'!D28-'11'!D27</f>
        <v>0</v>
      </c>
      <c r="I15">
        <f>'11'!D34</f>
        <v>0</v>
      </c>
      <c r="J15">
        <f>'11'!D35</f>
        <v>0</v>
      </c>
      <c r="K15">
        <f>'11'!D36</f>
        <v>0</v>
      </c>
      <c r="L15">
        <f>'11'!D30</f>
        <v>0</v>
      </c>
      <c r="M15">
        <f>'11'!D32+'11'!D37</f>
        <v>0</v>
      </c>
      <c r="N15">
        <f>'11'!F15</f>
        <v>0</v>
      </c>
      <c r="O15">
        <f>'11'!J15+'11'!J28</f>
        <v>0</v>
      </c>
      <c r="S15" s="73">
        <f t="shared" si="0"/>
        <v>0</v>
      </c>
      <c r="T15" s="32">
        <f>'11'!E15</f>
        <v>0</v>
      </c>
      <c r="U15" s="74">
        <f t="shared" si="1"/>
        <v>11</v>
      </c>
    </row>
    <row r="16" spans="1:21" x14ac:dyDescent="0.35">
      <c r="A16" s="160">
        <f>'12'!G1</f>
        <v>0</v>
      </c>
      <c r="B16">
        <f>'12'!D15</f>
        <v>0</v>
      </c>
      <c r="C16">
        <f>'12'!D15-'12'!D14</f>
        <v>0</v>
      </c>
      <c r="D16">
        <f>'12'!G15</f>
        <v>0</v>
      </c>
      <c r="E16">
        <f>'12'!H15</f>
        <v>0</v>
      </c>
      <c r="F16">
        <f>'12'!I15</f>
        <v>0</v>
      </c>
      <c r="G16">
        <f>'12'!I28</f>
        <v>0</v>
      </c>
      <c r="H16">
        <f>'12'!D28-'12'!D27</f>
        <v>0</v>
      </c>
      <c r="I16">
        <f>'12'!D34</f>
        <v>0</v>
      </c>
      <c r="J16">
        <f>'12'!D35</f>
        <v>0</v>
      </c>
      <c r="K16">
        <f>'12'!D36</f>
        <v>0</v>
      </c>
      <c r="L16">
        <f>'12'!D30</f>
        <v>0</v>
      </c>
      <c r="M16">
        <f>'12'!D32+'12'!D37</f>
        <v>0</v>
      </c>
      <c r="N16">
        <f>'12'!F15</f>
        <v>0</v>
      </c>
      <c r="O16">
        <f>'12'!J15+'12'!J28</f>
        <v>0</v>
      </c>
      <c r="S16" s="73">
        <f t="shared" si="0"/>
        <v>0</v>
      </c>
      <c r="T16" s="32">
        <f>'12'!E15</f>
        <v>0</v>
      </c>
      <c r="U16" s="74">
        <f t="shared" si="1"/>
        <v>12</v>
      </c>
    </row>
    <row r="17" spans="1:21" x14ac:dyDescent="0.35">
      <c r="A17" s="160">
        <f>'13'!G1</f>
        <v>0</v>
      </c>
      <c r="B17">
        <f>'13'!D15</f>
        <v>0</v>
      </c>
      <c r="C17">
        <f>'13'!D15-'13'!D14</f>
        <v>0</v>
      </c>
      <c r="D17">
        <f>'13'!G15</f>
        <v>0</v>
      </c>
      <c r="E17">
        <f>'13'!H15</f>
        <v>0</v>
      </c>
      <c r="F17">
        <f>'13'!I15</f>
        <v>0</v>
      </c>
      <c r="G17">
        <f>'13'!I28</f>
        <v>0</v>
      </c>
      <c r="H17">
        <f>'13'!D28-'13'!D27</f>
        <v>0</v>
      </c>
      <c r="I17">
        <f>'13'!D34</f>
        <v>0</v>
      </c>
      <c r="J17">
        <f>'13'!D35</f>
        <v>0</v>
      </c>
      <c r="K17">
        <f>'13'!D36</f>
        <v>0</v>
      </c>
      <c r="L17">
        <f>'13'!D30</f>
        <v>0</v>
      </c>
      <c r="M17">
        <f>'13'!D32+'13'!D37</f>
        <v>0</v>
      </c>
      <c r="N17">
        <f>'13'!F15</f>
        <v>0</v>
      </c>
      <c r="O17">
        <f>'13'!J15+'13'!J28</f>
        <v>0</v>
      </c>
      <c r="S17" s="73">
        <f t="shared" si="0"/>
        <v>0</v>
      </c>
      <c r="T17" s="32">
        <f>'13'!E15</f>
        <v>0</v>
      </c>
      <c r="U17" s="74">
        <f t="shared" si="1"/>
        <v>13</v>
      </c>
    </row>
    <row r="18" spans="1:21" x14ac:dyDescent="0.35">
      <c r="A18" s="160">
        <f>'14'!G1</f>
        <v>0</v>
      </c>
      <c r="B18">
        <f>'14'!D15</f>
        <v>0</v>
      </c>
      <c r="C18">
        <f>'14'!D15-'14'!D14</f>
        <v>0</v>
      </c>
      <c r="D18">
        <f>'14'!G15</f>
        <v>0</v>
      </c>
      <c r="E18">
        <f>'14'!H15</f>
        <v>0</v>
      </c>
      <c r="F18">
        <f>'14'!I15</f>
        <v>0</v>
      </c>
      <c r="G18">
        <f>'14'!I28</f>
        <v>0</v>
      </c>
      <c r="H18">
        <f>'14'!D28-'14'!D27</f>
        <v>0</v>
      </c>
      <c r="I18">
        <f>'14'!D34</f>
        <v>0</v>
      </c>
      <c r="J18">
        <f>'14'!D35</f>
        <v>0</v>
      </c>
      <c r="K18">
        <f>'14'!D36</f>
        <v>0</v>
      </c>
      <c r="L18">
        <f>'14'!D30</f>
        <v>0</v>
      </c>
      <c r="M18">
        <f>'14'!D32+'14'!D37</f>
        <v>0</v>
      </c>
      <c r="N18">
        <f>'14'!F15</f>
        <v>0</v>
      </c>
      <c r="O18">
        <f>'14'!J15+'14'!J28</f>
        <v>0</v>
      </c>
      <c r="S18" s="73">
        <f t="shared" si="0"/>
        <v>0</v>
      </c>
      <c r="T18" s="32">
        <f>'14'!E15</f>
        <v>0</v>
      </c>
      <c r="U18" s="74">
        <f t="shared" si="1"/>
        <v>14</v>
      </c>
    </row>
    <row r="19" spans="1:21" x14ac:dyDescent="0.35">
      <c r="A19" s="160">
        <f>'15'!G1</f>
        <v>0</v>
      </c>
      <c r="B19">
        <f>'15'!D15</f>
        <v>0</v>
      </c>
      <c r="C19">
        <f>'15'!D15-'15'!D14</f>
        <v>0</v>
      </c>
      <c r="D19">
        <f>'15'!G15</f>
        <v>0</v>
      </c>
      <c r="E19">
        <f>'15'!H15</f>
        <v>0</v>
      </c>
      <c r="F19">
        <f>'15'!I15</f>
        <v>0</v>
      </c>
      <c r="G19">
        <f>'15'!I28</f>
        <v>0</v>
      </c>
      <c r="H19">
        <f>'15'!D28-'15'!D27</f>
        <v>0</v>
      </c>
      <c r="I19">
        <f>'15'!D34</f>
        <v>0</v>
      </c>
      <c r="J19">
        <f>'15'!D35</f>
        <v>0</v>
      </c>
      <c r="K19">
        <f>'15'!D36</f>
        <v>0</v>
      </c>
      <c r="L19">
        <f>'15'!D30</f>
        <v>0</v>
      </c>
      <c r="M19">
        <f>'15'!D32+'15'!D37</f>
        <v>0</v>
      </c>
      <c r="N19">
        <f>'15'!F15</f>
        <v>0</v>
      </c>
      <c r="O19">
        <f>'15'!J15+'15'!J28</f>
        <v>0</v>
      </c>
      <c r="S19" s="73">
        <f t="shared" si="0"/>
        <v>0</v>
      </c>
      <c r="T19" s="32">
        <f>'15'!E15</f>
        <v>0</v>
      </c>
      <c r="U19" s="74">
        <f t="shared" si="1"/>
        <v>15</v>
      </c>
    </row>
    <row r="20" spans="1:21" x14ac:dyDescent="0.35">
      <c r="A20" s="160">
        <f>'16'!G1</f>
        <v>0</v>
      </c>
      <c r="B20">
        <f>'16'!D15</f>
        <v>0</v>
      </c>
      <c r="C20">
        <f>'16'!D15-'16'!D14</f>
        <v>0</v>
      </c>
      <c r="D20">
        <f>'16'!G15</f>
        <v>0</v>
      </c>
      <c r="E20">
        <f>'16'!H15</f>
        <v>0</v>
      </c>
      <c r="F20">
        <f>'16'!I15</f>
        <v>0</v>
      </c>
      <c r="G20">
        <f>'16'!I28</f>
        <v>0</v>
      </c>
      <c r="H20">
        <f>'16'!D28-'16'!D27</f>
        <v>0</v>
      </c>
      <c r="I20">
        <f>'16'!D34</f>
        <v>0</v>
      </c>
      <c r="J20">
        <f>'16'!D35</f>
        <v>0</v>
      </c>
      <c r="K20">
        <f>'16'!D36</f>
        <v>0</v>
      </c>
      <c r="L20">
        <f>'16'!D30</f>
        <v>0</v>
      </c>
      <c r="M20">
        <f>'16'!D32+'16'!D37</f>
        <v>0</v>
      </c>
      <c r="N20">
        <f>'16'!F15</f>
        <v>0</v>
      </c>
      <c r="O20">
        <f>'16'!J15+'16'!J28</f>
        <v>0</v>
      </c>
      <c r="S20" s="73">
        <f t="shared" si="0"/>
        <v>0</v>
      </c>
      <c r="T20" s="32">
        <f>'16'!E15</f>
        <v>0</v>
      </c>
      <c r="U20" s="74">
        <f t="shared" si="1"/>
        <v>16</v>
      </c>
    </row>
    <row r="21" spans="1:21" x14ac:dyDescent="0.35">
      <c r="A21" s="160">
        <f>'17'!G1</f>
        <v>0</v>
      </c>
      <c r="B21">
        <f>'17'!D15</f>
        <v>0</v>
      </c>
      <c r="C21">
        <f>'17'!D15-'17'!D14</f>
        <v>0</v>
      </c>
      <c r="D21">
        <f>'17'!G15</f>
        <v>0</v>
      </c>
      <c r="E21">
        <f>'17'!H15</f>
        <v>0</v>
      </c>
      <c r="F21">
        <f>'17'!I15</f>
        <v>0</v>
      </c>
      <c r="G21">
        <f>'17'!I28</f>
        <v>0</v>
      </c>
      <c r="H21">
        <f>'17'!D28-'17'!D27</f>
        <v>0</v>
      </c>
      <c r="I21">
        <f>'17'!D34</f>
        <v>0</v>
      </c>
      <c r="J21">
        <f>'17'!D35</f>
        <v>0</v>
      </c>
      <c r="K21">
        <f>'17'!D36</f>
        <v>0</v>
      </c>
      <c r="L21">
        <f>'17'!D30</f>
        <v>0</v>
      </c>
      <c r="M21">
        <f>'17'!D32+'17'!D37</f>
        <v>0</v>
      </c>
      <c r="N21">
        <f>'17'!F15</f>
        <v>0</v>
      </c>
      <c r="O21">
        <f>'17'!J15+'17'!J28</f>
        <v>0</v>
      </c>
      <c r="S21" s="73">
        <f t="shared" si="0"/>
        <v>0</v>
      </c>
      <c r="T21" s="32">
        <f>'17'!E15</f>
        <v>0</v>
      </c>
      <c r="U21" s="74">
        <f t="shared" si="1"/>
        <v>17</v>
      </c>
    </row>
    <row r="22" spans="1:21" x14ac:dyDescent="0.35">
      <c r="A22" s="160">
        <f>'18'!G1</f>
        <v>0</v>
      </c>
      <c r="B22">
        <f>'18'!D15</f>
        <v>0</v>
      </c>
      <c r="C22">
        <f>'18'!D15-'18'!D14</f>
        <v>0</v>
      </c>
      <c r="D22">
        <f>'18'!G15</f>
        <v>0</v>
      </c>
      <c r="E22">
        <f>'18'!H15</f>
        <v>0</v>
      </c>
      <c r="F22">
        <f>'18'!I15</f>
        <v>0</v>
      </c>
      <c r="G22">
        <f>'18'!I28</f>
        <v>0</v>
      </c>
      <c r="H22">
        <f>'18'!D28-'18'!D27</f>
        <v>0</v>
      </c>
      <c r="I22">
        <f>'18'!D34</f>
        <v>0</v>
      </c>
      <c r="J22">
        <f>'18'!D35</f>
        <v>0</v>
      </c>
      <c r="K22">
        <f>'18'!D36</f>
        <v>0</v>
      </c>
      <c r="L22">
        <f>'18'!D30</f>
        <v>0</v>
      </c>
      <c r="M22">
        <f>'18'!D32+'18'!D37</f>
        <v>0</v>
      </c>
      <c r="N22">
        <f>'18'!F15</f>
        <v>0</v>
      </c>
      <c r="O22">
        <f>'18'!J15+'18'!J28</f>
        <v>0</v>
      </c>
      <c r="S22" s="73">
        <f t="shared" si="0"/>
        <v>0</v>
      </c>
      <c r="T22" s="32">
        <f>'18'!E15</f>
        <v>0</v>
      </c>
      <c r="U22" s="74">
        <f t="shared" si="1"/>
        <v>18</v>
      </c>
    </row>
    <row r="23" spans="1:21" x14ac:dyDescent="0.35">
      <c r="A23" s="160">
        <f>'19'!G1</f>
        <v>0</v>
      </c>
      <c r="B23">
        <f>'19'!D15</f>
        <v>0</v>
      </c>
      <c r="C23">
        <f>'19'!D15-'19'!D14</f>
        <v>0</v>
      </c>
      <c r="D23">
        <f>'19'!G15</f>
        <v>0</v>
      </c>
      <c r="E23">
        <f>'19'!H15</f>
        <v>0</v>
      </c>
      <c r="F23">
        <f>'19'!I15</f>
        <v>0</v>
      </c>
      <c r="G23">
        <f>'19'!I28</f>
        <v>0</v>
      </c>
      <c r="H23">
        <f>'19'!D28-'19'!D27</f>
        <v>0</v>
      </c>
      <c r="I23">
        <f>'19'!D34</f>
        <v>0</v>
      </c>
      <c r="J23">
        <f>'19'!D35</f>
        <v>0</v>
      </c>
      <c r="K23">
        <f>'19'!D36</f>
        <v>0</v>
      </c>
      <c r="L23">
        <f>'19'!D30</f>
        <v>0</v>
      </c>
      <c r="M23">
        <f>'19'!D32+'19'!D37</f>
        <v>0</v>
      </c>
      <c r="N23">
        <f>'19'!F15</f>
        <v>0</v>
      </c>
      <c r="O23">
        <f>'19'!J15+'19'!J28</f>
        <v>0</v>
      </c>
      <c r="S23" s="73">
        <f t="shared" si="0"/>
        <v>0</v>
      </c>
      <c r="T23" s="32">
        <f>'19'!E15</f>
        <v>0</v>
      </c>
      <c r="U23" s="74">
        <f t="shared" si="1"/>
        <v>19</v>
      </c>
    </row>
    <row r="24" spans="1:21" x14ac:dyDescent="0.35">
      <c r="A24" s="160">
        <f>'20'!G1</f>
        <v>0</v>
      </c>
      <c r="B24">
        <f>'20'!D15</f>
        <v>0</v>
      </c>
      <c r="C24">
        <f>'20'!D15-'20'!D14</f>
        <v>0</v>
      </c>
      <c r="D24">
        <f>'20'!G15</f>
        <v>0</v>
      </c>
      <c r="E24">
        <f>'20'!H15</f>
        <v>0</v>
      </c>
      <c r="F24">
        <f>'20'!I15</f>
        <v>0</v>
      </c>
      <c r="G24">
        <f>'20'!I28</f>
        <v>0</v>
      </c>
      <c r="H24">
        <f>'20'!D28-'20'!D27</f>
        <v>0</v>
      </c>
      <c r="I24">
        <f>'20'!D34</f>
        <v>0</v>
      </c>
      <c r="J24">
        <f>'20'!D35</f>
        <v>0</v>
      </c>
      <c r="K24">
        <f>'20'!D36</f>
        <v>0</v>
      </c>
      <c r="L24">
        <f>'20'!D30</f>
        <v>0</v>
      </c>
      <c r="M24">
        <f>'20'!D32+'20'!D37</f>
        <v>0</v>
      </c>
      <c r="N24">
        <f>'20'!F15</f>
        <v>0</v>
      </c>
      <c r="O24">
        <f>'20'!J15+'20'!J28</f>
        <v>0</v>
      </c>
      <c r="S24" s="73">
        <f t="shared" si="0"/>
        <v>0</v>
      </c>
      <c r="T24" s="32">
        <f>'20'!E15</f>
        <v>0</v>
      </c>
      <c r="U24" s="74">
        <f t="shared" si="1"/>
        <v>20</v>
      </c>
    </row>
    <row r="25" spans="1:21" x14ac:dyDescent="0.35">
      <c r="A25" s="160">
        <f>'21'!G1</f>
        <v>0</v>
      </c>
      <c r="B25">
        <f>'21'!D15</f>
        <v>0</v>
      </c>
      <c r="C25">
        <f>'21'!D15-'21'!D14</f>
        <v>0</v>
      </c>
      <c r="D25">
        <f>'21'!G15</f>
        <v>0</v>
      </c>
      <c r="E25">
        <f>'21'!H15</f>
        <v>0</v>
      </c>
      <c r="F25">
        <f>'21'!I15</f>
        <v>0</v>
      </c>
      <c r="G25">
        <f>'21'!I28</f>
        <v>0</v>
      </c>
      <c r="H25">
        <f>'21'!D28-'21'!D27</f>
        <v>0</v>
      </c>
      <c r="I25">
        <f>'21'!D34</f>
        <v>0</v>
      </c>
      <c r="J25">
        <f>'21'!D35</f>
        <v>0</v>
      </c>
      <c r="K25">
        <f>'21'!D36</f>
        <v>0</v>
      </c>
      <c r="L25">
        <f>'21'!D30</f>
        <v>0</v>
      </c>
      <c r="M25">
        <f>'21'!D32+'21'!D37</f>
        <v>0</v>
      </c>
      <c r="N25">
        <f>'21'!F15</f>
        <v>0</v>
      </c>
      <c r="O25">
        <f>'21'!J15+'21'!J28</f>
        <v>0</v>
      </c>
      <c r="S25" s="73">
        <f t="shared" si="0"/>
        <v>0</v>
      </c>
      <c r="T25" s="32">
        <f>'21'!E15</f>
        <v>0</v>
      </c>
      <c r="U25" s="74">
        <f t="shared" si="1"/>
        <v>21</v>
      </c>
    </row>
    <row r="26" spans="1:21" x14ac:dyDescent="0.35">
      <c r="A26" s="160">
        <f>'22'!G1</f>
        <v>0</v>
      </c>
      <c r="B26">
        <f>'22'!D15</f>
        <v>0</v>
      </c>
      <c r="C26">
        <f>'22'!D15-'22'!D14</f>
        <v>0</v>
      </c>
      <c r="D26">
        <f>'22'!G15</f>
        <v>0</v>
      </c>
      <c r="E26">
        <f>'22'!H15</f>
        <v>0</v>
      </c>
      <c r="F26">
        <f>'22'!I15</f>
        <v>0</v>
      </c>
      <c r="G26">
        <f>'22'!I28</f>
        <v>0</v>
      </c>
      <c r="H26">
        <f>'22'!D28-'22'!D27</f>
        <v>0</v>
      </c>
      <c r="I26">
        <f>'22'!D34</f>
        <v>0</v>
      </c>
      <c r="J26">
        <f>'22'!D35</f>
        <v>0</v>
      </c>
      <c r="K26">
        <f>'22'!D36</f>
        <v>0</v>
      </c>
      <c r="L26">
        <f>'22'!D30</f>
        <v>0</v>
      </c>
      <c r="M26">
        <f>'22'!D32+'22'!D37</f>
        <v>0</v>
      </c>
      <c r="N26">
        <f>'22'!F15</f>
        <v>0</v>
      </c>
      <c r="O26">
        <f>'22'!J15+'22'!J28</f>
        <v>0</v>
      </c>
      <c r="S26" s="73">
        <f t="shared" si="0"/>
        <v>0</v>
      </c>
      <c r="T26" s="32">
        <f>'22'!E15</f>
        <v>0</v>
      </c>
      <c r="U26" s="74">
        <f t="shared" si="1"/>
        <v>22</v>
      </c>
    </row>
    <row r="27" spans="1:21" x14ac:dyDescent="0.35">
      <c r="A27" s="160">
        <f>'23'!G1</f>
        <v>0</v>
      </c>
      <c r="B27">
        <f>'23'!D15</f>
        <v>0</v>
      </c>
      <c r="C27">
        <f>'23'!D15-'23'!D14</f>
        <v>0</v>
      </c>
      <c r="D27">
        <f>'23'!G15</f>
        <v>0</v>
      </c>
      <c r="E27">
        <f>'23'!H15</f>
        <v>0</v>
      </c>
      <c r="F27">
        <f>'23'!I15</f>
        <v>0</v>
      </c>
      <c r="G27">
        <f>'23'!I28</f>
        <v>0</v>
      </c>
      <c r="H27">
        <f>'23'!D28-'23'!D27</f>
        <v>0</v>
      </c>
      <c r="I27">
        <f>'23'!D34</f>
        <v>0</v>
      </c>
      <c r="J27">
        <f>'23'!D35</f>
        <v>0</v>
      </c>
      <c r="K27">
        <f>'23'!D36</f>
        <v>0</v>
      </c>
      <c r="L27">
        <f>'23'!D30</f>
        <v>0</v>
      </c>
      <c r="M27">
        <f>'23'!D32+'23'!D37</f>
        <v>0</v>
      </c>
      <c r="N27">
        <f>'23'!F15</f>
        <v>0</v>
      </c>
      <c r="O27">
        <f>'23'!J15+'23'!J28</f>
        <v>0</v>
      </c>
      <c r="S27" s="73">
        <f t="shared" si="0"/>
        <v>0</v>
      </c>
      <c r="T27" s="32">
        <f>'23'!E15</f>
        <v>0</v>
      </c>
      <c r="U27" s="74">
        <f t="shared" si="1"/>
        <v>23</v>
      </c>
    </row>
    <row r="28" spans="1:21" x14ac:dyDescent="0.35">
      <c r="A28" s="160">
        <f>'24'!G1</f>
        <v>0</v>
      </c>
      <c r="B28">
        <f>'24'!D15</f>
        <v>0</v>
      </c>
      <c r="C28">
        <f>'24'!D15-'24'!D14</f>
        <v>0</v>
      </c>
      <c r="D28">
        <f>'24'!G15</f>
        <v>0</v>
      </c>
      <c r="E28">
        <f>'24'!H15</f>
        <v>0</v>
      </c>
      <c r="F28">
        <f>'24'!I15</f>
        <v>0</v>
      </c>
      <c r="G28">
        <f>'24'!I28</f>
        <v>0</v>
      </c>
      <c r="H28">
        <f>'24'!D28-'24'!D27</f>
        <v>0</v>
      </c>
      <c r="I28">
        <f>'24'!D34</f>
        <v>0</v>
      </c>
      <c r="J28">
        <f>'24'!D35</f>
        <v>0</v>
      </c>
      <c r="K28">
        <f>'24'!D36</f>
        <v>0</v>
      </c>
      <c r="L28">
        <f>'24'!D30</f>
        <v>0</v>
      </c>
      <c r="M28">
        <f>'24'!D32+'24'!D37</f>
        <v>0</v>
      </c>
      <c r="N28">
        <f>'24'!F15</f>
        <v>0</v>
      </c>
      <c r="O28">
        <f>'24'!J15+'24'!J28</f>
        <v>0</v>
      </c>
      <c r="S28" s="73">
        <f t="shared" si="0"/>
        <v>0</v>
      </c>
      <c r="T28" s="32">
        <f>'24'!E15</f>
        <v>0</v>
      </c>
      <c r="U28" s="74">
        <f t="shared" si="1"/>
        <v>24</v>
      </c>
    </row>
    <row r="29" spans="1:21" x14ac:dyDescent="0.35">
      <c r="A29" s="160">
        <f>'25'!G1</f>
        <v>0</v>
      </c>
      <c r="B29">
        <f>'25'!D15</f>
        <v>0</v>
      </c>
      <c r="C29">
        <f>'25'!D15-'25'!D14</f>
        <v>0</v>
      </c>
      <c r="D29">
        <f>'25'!G15</f>
        <v>0</v>
      </c>
      <c r="E29">
        <f>'25'!H15</f>
        <v>0</v>
      </c>
      <c r="F29">
        <f>'25'!I15</f>
        <v>0</v>
      </c>
      <c r="G29">
        <f>'25'!I28</f>
        <v>0</v>
      </c>
      <c r="H29">
        <f>'25'!D28-'25'!D27</f>
        <v>0</v>
      </c>
      <c r="I29">
        <f>'25'!D34</f>
        <v>0</v>
      </c>
      <c r="J29">
        <f>'25'!D35</f>
        <v>0</v>
      </c>
      <c r="K29">
        <f>'25'!D36</f>
        <v>0</v>
      </c>
      <c r="L29">
        <f>'25'!D30</f>
        <v>0</v>
      </c>
      <c r="M29">
        <f>'25'!D32+'25'!D37</f>
        <v>0</v>
      </c>
      <c r="N29">
        <f>'25'!F15</f>
        <v>0</v>
      </c>
      <c r="O29">
        <f>'25'!J15+'25'!J28</f>
        <v>0</v>
      </c>
      <c r="S29" s="73">
        <f t="shared" si="0"/>
        <v>0</v>
      </c>
      <c r="T29" s="32">
        <f>'25'!E15</f>
        <v>0</v>
      </c>
      <c r="U29" s="74">
        <f t="shared" si="1"/>
        <v>25</v>
      </c>
    </row>
    <row r="30" spans="1:21" x14ac:dyDescent="0.35">
      <c r="A30" s="160"/>
      <c r="S30" s="73"/>
      <c r="T30" s="32"/>
      <c r="U30" s="74"/>
    </row>
    <row r="31" spans="1:21" x14ac:dyDescent="0.35">
      <c r="S31" s="75" t="s">
        <v>20</v>
      </c>
      <c r="T31" s="76">
        <f>SUM(T5:T30)</f>
        <v>713</v>
      </c>
      <c r="U31" s="77"/>
    </row>
    <row r="32" spans="1:21" x14ac:dyDescent="0.35">
      <c r="A32" s="64" t="s">
        <v>125</v>
      </c>
      <c r="B32" s="64">
        <f>SUM(B5:B31)</f>
        <v>39</v>
      </c>
      <c r="C32" s="64">
        <f t="shared" ref="C32:O32" si="2">SUM(C5:C31)</f>
        <v>27</v>
      </c>
      <c r="D32" s="64">
        <f t="shared" si="2"/>
        <v>22</v>
      </c>
      <c r="E32" s="64">
        <f t="shared" si="2"/>
        <v>29</v>
      </c>
      <c r="F32" s="64">
        <f t="shared" si="2"/>
        <v>57</v>
      </c>
      <c r="G32" s="64">
        <f t="shared" si="2"/>
        <v>200</v>
      </c>
      <c r="H32" s="64">
        <f t="shared" si="2"/>
        <v>120</v>
      </c>
      <c r="I32" s="64">
        <f t="shared" si="2"/>
        <v>0</v>
      </c>
      <c r="J32" s="64">
        <f t="shared" si="2"/>
        <v>0</v>
      </c>
      <c r="K32" s="64">
        <f t="shared" si="2"/>
        <v>0</v>
      </c>
      <c r="L32" s="64">
        <f t="shared" si="2"/>
        <v>10</v>
      </c>
      <c r="M32" s="64">
        <f t="shared" si="2"/>
        <v>0</v>
      </c>
      <c r="N32" s="64">
        <f t="shared" si="2"/>
        <v>10</v>
      </c>
      <c r="O32" s="64">
        <f t="shared" si="2"/>
        <v>34</v>
      </c>
      <c r="P32" s="283">
        <f>Taschen!Q6</f>
        <v>0</v>
      </c>
      <c r="Q32" s="283">
        <f>Taschen!Q7+Taschen!Q9</f>
        <v>0</v>
      </c>
      <c r="R32" s="238">
        <f>T43</f>
        <v>2</v>
      </c>
    </row>
    <row r="33" spans="1:24" x14ac:dyDescent="0.35">
      <c r="S33" t="s">
        <v>48</v>
      </c>
      <c r="T33" t="s">
        <v>157</v>
      </c>
      <c r="U33" t="s">
        <v>347</v>
      </c>
    </row>
    <row r="34" spans="1:24" x14ac:dyDescent="0.35">
      <c r="A34" t="s">
        <v>123</v>
      </c>
      <c r="B34">
        <f t="shared" ref="B34:O34" si="3">B32*B38</f>
        <v>0</v>
      </c>
      <c r="C34">
        <f t="shared" si="3"/>
        <v>27</v>
      </c>
      <c r="D34">
        <f t="shared" si="3"/>
        <v>44</v>
      </c>
      <c r="E34">
        <f t="shared" si="3"/>
        <v>58</v>
      </c>
      <c r="F34">
        <f t="shared" si="3"/>
        <v>114</v>
      </c>
      <c r="G34">
        <f t="shared" si="3"/>
        <v>200</v>
      </c>
      <c r="H34">
        <f t="shared" si="3"/>
        <v>150</v>
      </c>
      <c r="I34">
        <f t="shared" si="3"/>
        <v>0</v>
      </c>
      <c r="J34">
        <f t="shared" si="3"/>
        <v>0</v>
      </c>
      <c r="K34">
        <f t="shared" si="3"/>
        <v>0</v>
      </c>
      <c r="L34">
        <f t="shared" si="3"/>
        <v>50</v>
      </c>
      <c r="M34">
        <f t="shared" si="3"/>
        <v>0</v>
      </c>
      <c r="N34">
        <f t="shared" si="3"/>
        <v>0</v>
      </c>
      <c r="O34">
        <f t="shared" si="3"/>
        <v>34</v>
      </c>
      <c r="P34" s="281">
        <f t="shared" ref="P34:Q34" si="4">P32*P38</f>
        <v>0</v>
      </c>
      <c r="Q34" s="281">
        <f t="shared" si="4"/>
        <v>0</v>
      </c>
      <c r="R34" s="160">
        <f>R32*R38</f>
        <v>0</v>
      </c>
      <c r="S34" s="160">
        <f>SUM(B34:Q34)+J59</f>
        <v>837</v>
      </c>
      <c r="T34">
        <f>ROUNDUP(S34+S34/100*U34,0)</f>
        <v>963</v>
      </c>
      <c r="U34" s="164">
        <v>15</v>
      </c>
    </row>
    <row r="35" spans="1:24" ht="15" thickBot="1" x14ac:dyDescent="0.4">
      <c r="A35" t="s">
        <v>124</v>
      </c>
      <c r="B35">
        <f t="shared" ref="B35:O35" si="5">B32*B39</f>
        <v>39</v>
      </c>
      <c r="C35">
        <f t="shared" si="5"/>
        <v>0</v>
      </c>
      <c r="D35">
        <f t="shared" si="5"/>
        <v>0</v>
      </c>
      <c r="E35">
        <f t="shared" si="5"/>
        <v>29</v>
      </c>
      <c r="F35">
        <f t="shared" si="5"/>
        <v>57</v>
      </c>
      <c r="G35">
        <f t="shared" si="5"/>
        <v>200</v>
      </c>
      <c r="H35">
        <f t="shared" si="5"/>
        <v>120</v>
      </c>
      <c r="I35">
        <f t="shared" si="5"/>
        <v>0</v>
      </c>
      <c r="J35">
        <f t="shared" si="5"/>
        <v>0</v>
      </c>
      <c r="K35">
        <f t="shared" si="5"/>
        <v>0</v>
      </c>
      <c r="L35">
        <f t="shared" si="5"/>
        <v>10</v>
      </c>
      <c r="M35">
        <f t="shared" si="5"/>
        <v>0</v>
      </c>
      <c r="N35">
        <f t="shared" si="5"/>
        <v>0</v>
      </c>
      <c r="O35">
        <f t="shared" si="5"/>
        <v>34</v>
      </c>
      <c r="P35" s="281">
        <f>P32*P39</f>
        <v>0</v>
      </c>
      <c r="Q35" s="281">
        <f>Q32*Q39</f>
        <v>0</v>
      </c>
      <c r="R35" s="160">
        <f>R32*R39</f>
        <v>2</v>
      </c>
      <c r="S35" s="160">
        <f>SUM(B35:Q35)+L59</f>
        <v>621</v>
      </c>
      <c r="T35">
        <f>ROUNDUP(S35+S35/100*U34,0)</f>
        <v>715</v>
      </c>
    </row>
    <row r="36" spans="1:24" ht="15" thickBot="1" x14ac:dyDescent="0.4">
      <c r="Q36" s="497" t="s">
        <v>349</v>
      </c>
      <c r="R36" s="497"/>
      <c r="S36" s="498"/>
      <c r="T36" s="162">
        <f>IF(T34&gt;T35,T34,T35)</f>
        <v>963</v>
      </c>
    </row>
    <row r="37" spans="1:24" x14ac:dyDescent="0.35">
      <c r="A37" t="s">
        <v>122</v>
      </c>
    </row>
    <row r="38" spans="1:24" x14ac:dyDescent="0.35">
      <c r="A38" t="s">
        <v>109</v>
      </c>
      <c r="B38">
        <v>0</v>
      </c>
      <c r="C38">
        <v>1</v>
      </c>
      <c r="D38">
        <v>2</v>
      </c>
      <c r="E38">
        <v>2</v>
      </c>
      <c r="F38">
        <v>2</v>
      </c>
      <c r="G38">
        <v>1</v>
      </c>
      <c r="H38">
        <v>1.25</v>
      </c>
      <c r="I38">
        <v>2</v>
      </c>
      <c r="J38">
        <v>4</v>
      </c>
      <c r="K38">
        <v>5</v>
      </c>
      <c r="L38">
        <v>5</v>
      </c>
      <c r="M38">
        <v>5</v>
      </c>
      <c r="N38">
        <v>0</v>
      </c>
      <c r="O38">
        <v>1</v>
      </c>
      <c r="P38">
        <v>3</v>
      </c>
      <c r="Q38">
        <v>3</v>
      </c>
    </row>
    <row r="39" spans="1:24" x14ac:dyDescent="0.35">
      <c r="A39" t="s">
        <v>110</v>
      </c>
      <c r="B39">
        <v>1</v>
      </c>
      <c r="C39">
        <v>0</v>
      </c>
      <c r="D39">
        <v>0</v>
      </c>
      <c r="E39">
        <v>1</v>
      </c>
      <c r="F39">
        <v>1</v>
      </c>
      <c r="G39">
        <v>1</v>
      </c>
      <c r="H39">
        <v>1</v>
      </c>
      <c r="I39">
        <v>1</v>
      </c>
      <c r="J39">
        <v>2</v>
      </c>
      <c r="K39">
        <v>3</v>
      </c>
      <c r="L39">
        <v>1</v>
      </c>
      <c r="M39">
        <v>4</v>
      </c>
      <c r="N39">
        <v>0</v>
      </c>
      <c r="O39">
        <v>1</v>
      </c>
      <c r="P39">
        <v>5</v>
      </c>
      <c r="Q39">
        <v>5</v>
      </c>
      <c r="R39">
        <v>1</v>
      </c>
    </row>
    <row r="40" spans="1:24" x14ac:dyDescent="0.3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2" spans="1:24" ht="15" thickBot="1" x14ac:dyDescent="0.4">
      <c r="A42" t="s">
        <v>158</v>
      </c>
      <c r="B42" t="s">
        <v>14</v>
      </c>
      <c r="F42" t="s">
        <v>162</v>
      </c>
      <c r="G42" t="s">
        <v>163</v>
      </c>
      <c r="H42" t="s">
        <v>169</v>
      </c>
      <c r="I42" s="70" t="s">
        <v>109</v>
      </c>
      <c r="J42" s="71" t="s">
        <v>216</v>
      </c>
      <c r="K42" s="71" t="s">
        <v>110</v>
      </c>
      <c r="L42" s="72" t="s">
        <v>217</v>
      </c>
      <c r="N42" t="s">
        <v>168</v>
      </c>
      <c r="O42" t="s">
        <v>49</v>
      </c>
      <c r="P42" t="s">
        <v>12</v>
      </c>
      <c r="T42" t="s">
        <v>176</v>
      </c>
    </row>
    <row r="43" spans="1:24" ht="15" thickBot="1" x14ac:dyDescent="0.4">
      <c r="B43" t="s">
        <v>159</v>
      </c>
      <c r="C43" t="s">
        <v>160</v>
      </c>
      <c r="D43" t="s">
        <v>161</v>
      </c>
      <c r="F43" s="210">
        <f>4350+F46</f>
        <v>6750</v>
      </c>
      <c r="G43" s="180">
        <v>2</v>
      </c>
      <c r="H43">
        <v>390</v>
      </c>
      <c r="I43" s="73"/>
      <c r="J43" s="32"/>
      <c r="K43" s="32"/>
      <c r="L43" s="74"/>
      <c r="N43" s="210">
        <f>G43*F43+H43*N32*R43</f>
        <v>17400</v>
      </c>
      <c r="O43" s="151">
        <f>Übersicht!K57</f>
        <v>1.7</v>
      </c>
      <c r="P43" s="210">
        <f t="shared" ref="P43:P55" si="6">N43*O43</f>
        <v>29580</v>
      </c>
      <c r="R43" s="288">
        <f>IF(G43&gt;0,1,0)</f>
        <v>1</v>
      </c>
      <c r="S43" s="161"/>
      <c r="T43" s="162">
        <f>IF(A5&gt;0,1,0)+IF(A6&gt;0,1,0)+IF(A7&gt;0,1,0)+IF(A8&gt;0,1,0)+IF(A9&gt;0,1,0)+IF(A10&gt;0,1,0)+IF(A11&gt;0,1,0)+IF(A12&gt;0,1,0)+IF(A13&gt;0,1,0)+IF(A14&gt;0,1,0)+IF(A15&gt;0,1,0)+IF(A16&gt;0,1,0)+IF(A17&gt;0,1,0)+IF(A18&gt;0,1,0)+IF(A19&gt;0,1,0)+IF(A20&gt;0,1,0)+IF(A21&gt;0,1,0)+IF(A22&gt;0,1,0)+IF(A23&gt;0,1,0)+IF(A24&gt;0,1,0)+IF(A25&gt;0,1,0)+IF(A26&gt;0,1,0)+IF(A27&gt;0,1,0)+IF(A28&gt;0,1,0)+IF(A29&gt;0,1,0)</f>
        <v>2</v>
      </c>
    </row>
    <row r="44" spans="1:24" x14ac:dyDescent="0.35">
      <c r="B44" t="s">
        <v>164</v>
      </c>
      <c r="C44" t="s">
        <v>165</v>
      </c>
      <c r="F44" s="210">
        <v>1450</v>
      </c>
      <c r="G44" s="160">
        <f>G43</f>
        <v>2</v>
      </c>
      <c r="I44" s="73"/>
      <c r="J44" s="32"/>
      <c r="K44" s="32"/>
      <c r="L44" s="74"/>
      <c r="N44" s="210">
        <f t="shared" ref="N44:N55" si="7">F44*G44</f>
        <v>2900</v>
      </c>
      <c r="O44">
        <f t="shared" ref="O44:O53" si="8">O43</f>
        <v>1.7</v>
      </c>
      <c r="P44" s="210">
        <f t="shared" si="6"/>
        <v>4930</v>
      </c>
    </row>
    <row r="45" spans="1:24" ht="15" thickBot="1" x14ac:dyDescent="0.4">
      <c r="B45" t="s">
        <v>166</v>
      </c>
      <c r="C45" t="s">
        <v>167</v>
      </c>
      <c r="F45" s="210">
        <v>4000</v>
      </c>
      <c r="G45">
        <f>R43</f>
        <v>1</v>
      </c>
      <c r="I45" s="73"/>
      <c r="J45" s="32"/>
      <c r="K45" s="32"/>
      <c r="L45" s="74"/>
      <c r="N45" s="210">
        <f>F45*G45</f>
        <v>4000</v>
      </c>
      <c r="O45">
        <f t="shared" si="8"/>
        <v>1.7</v>
      </c>
      <c r="P45" s="210">
        <f t="shared" si="6"/>
        <v>6800</v>
      </c>
      <c r="T45" t="s">
        <v>460</v>
      </c>
    </row>
    <row r="46" spans="1:24" ht="15" thickBot="1" x14ac:dyDescent="0.4">
      <c r="B46" t="s">
        <v>170</v>
      </c>
      <c r="C46" t="s">
        <v>275</v>
      </c>
      <c r="F46" s="210">
        <v>2400</v>
      </c>
      <c r="G46">
        <f>(ROUNDUP(T36/100,0))*R43</f>
        <v>10</v>
      </c>
      <c r="I46" s="73"/>
      <c r="J46" s="32"/>
      <c r="K46" s="32"/>
      <c r="L46" s="74"/>
      <c r="N46" s="210">
        <f t="shared" si="7"/>
        <v>24000</v>
      </c>
      <c r="O46">
        <f t="shared" si="8"/>
        <v>1.7</v>
      </c>
      <c r="P46" s="210">
        <f t="shared" si="6"/>
        <v>40800</v>
      </c>
      <c r="T46" s="306">
        <f>R32*(Taschen!R15+Taschen!U15*F77)</f>
        <v>1450</v>
      </c>
    </row>
    <row r="47" spans="1:24" s="331" customFormat="1" x14ac:dyDescent="0.35">
      <c r="B47" s="331" t="s">
        <v>528</v>
      </c>
      <c r="C47" s="331" t="s">
        <v>529</v>
      </c>
      <c r="F47" s="210">
        <v>85</v>
      </c>
      <c r="G47" s="331">
        <f>ROUNDUP(T36/4*R43,0)</f>
        <v>241</v>
      </c>
      <c r="I47" s="73"/>
      <c r="J47" s="32"/>
      <c r="K47" s="32"/>
      <c r="L47" s="74"/>
      <c r="N47" s="210">
        <f t="shared" si="7"/>
        <v>20485</v>
      </c>
      <c r="O47" s="331">
        <f t="shared" si="8"/>
        <v>1.7</v>
      </c>
      <c r="P47" s="210">
        <f t="shared" si="6"/>
        <v>34824.5</v>
      </c>
      <c r="T47" s="344"/>
    </row>
    <row r="48" spans="1:24" x14ac:dyDescent="0.35">
      <c r="B48" t="s">
        <v>174</v>
      </c>
      <c r="C48" t="s">
        <v>165</v>
      </c>
      <c r="F48" s="210">
        <v>1750</v>
      </c>
      <c r="G48" s="160">
        <f>G43</f>
        <v>2</v>
      </c>
      <c r="I48" s="73">
        <v>16</v>
      </c>
      <c r="J48" s="279">
        <f>G48*I48</f>
        <v>32</v>
      </c>
      <c r="K48" s="32">
        <v>16</v>
      </c>
      <c r="L48" s="280">
        <f>G48*K48</f>
        <v>32</v>
      </c>
      <c r="N48" s="210">
        <f t="shared" si="7"/>
        <v>3500</v>
      </c>
      <c r="O48" s="331">
        <f t="shared" si="8"/>
        <v>1.7</v>
      </c>
      <c r="P48" s="210">
        <f t="shared" si="6"/>
        <v>5950</v>
      </c>
    </row>
    <row r="49" spans="1:24" x14ac:dyDescent="0.35">
      <c r="B49" t="s">
        <v>175</v>
      </c>
      <c r="C49" t="s">
        <v>379</v>
      </c>
      <c r="F49" s="210">
        <v>1350</v>
      </c>
      <c r="G49" s="160">
        <f>ROUNDUP(G46*0.5,0)</f>
        <v>5</v>
      </c>
      <c r="I49" s="73"/>
      <c r="J49" s="32"/>
      <c r="K49" s="32"/>
      <c r="L49" s="74"/>
      <c r="N49" s="210">
        <f t="shared" si="7"/>
        <v>6750</v>
      </c>
      <c r="O49">
        <f t="shared" si="8"/>
        <v>1.7</v>
      </c>
      <c r="P49" s="210">
        <f t="shared" si="6"/>
        <v>11475</v>
      </c>
      <c r="R49" s="76"/>
      <c r="S49" s="76"/>
      <c r="T49" s="76"/>
      <c r="U49" s="76"/>
    </row>
    <row r="50" spans="1:24" x14ac:dyDescent="0.35">
      <c r="B50" t="s">
        <v>177</v>
      </c>
      <c r="C50" t="s">
        <v>544</v>
      </c>
      <c r="F50" s="210">
        <v>30</v>
      </c>
      <c r="G50" s="160">
        <v>20</v>
      </c>
      <c r="I50" s="73">
        <v>1</v>
      </c>
      <c r="J50" s="279">
        <f>G50*I50</f>
        <v>20</v>
      </c>
      <c r="K50" s="32"/>
      <c r="L50" s="74"/>
      <c r="N50" s="210">
        <f t="shared" si="7"/>
        <v>600</v>
      </c>
      <c r="O50">
        <f t="shared" si="8"/>
        <v>1.7</v>
      </c>
      <c r="P50" s="210">
        <f t="shared" si="6"/>
        <v>1020</v>
      </c>
      <c r="S50" s="499" t="s">
        <v>497</v>
      </c>
      <c r="T50" s="499"/>
    </row>
    <row r="51" spans="1:24" ht="15" thickBot="1" x14ac:dyDescent="0.4">
      <c r="B51" t="s">
        <v>178</v>
      </c>
      <c r="C51" t="s">
        <v>544</v>
      </c>
      <c r="F51" s="210">
        <v>50</v>
      </c>
      <c r="G51" s="160">
        <f>4*T43</f>
        <v>8</v>
      </c>
      <c r="I51" s="73">
        <v>1</v>
      </c>
      <c r="J51" s="279">
        <f>G51*I51</f>
        <v>8</v>
      </c>
      <c r="K51" s="32"/>
      <c r="L51" s="74"/>
      <c r="N51" s="210">
        <f t="shared" si="7"/>
        <v>400</v>
      </c>
      <c r="O51">
        <f t="shared" si="8"/>
        <v>1.7</v>
      </c>
      <c r="P51" s="210">
        <f t="shared" si="6"/>
        <v>680</v>
      </c>
      <c r="S51" s="302" t="s">
        <v>189</v>
      </c>
      <c r="T51" s="250">
        <v>30</v>
      </c>
    </row>
    <row r="52" spans="1:24" ht="15" thickBot="1" x14ac:dyDescent="0.4">
      <c r="B52" t="s">
        <v>179</v>
      </c>
      <c r="C52" t="s">
        <v>380</v>
      </c>
      <c r="F52" s="210">
        <v>100</v>
      </c>
      <c r="G52" s="163">
        <v>20</v>
      </c>
      <c r="I52" s="73">
        <v>5</v>
      </c>
      <c r="J52" s="279">
        <f>G52*I52</f>
        <v>100</v>
      </c>
      <c r="K52" s="32">
        <v>5</v>
      </c>
      <c r="L52" s="280">
        <f>G52*K52</f>
        <v>100</v>
      </c>
      <c r="N52" s="210">
        <f t="shared" si="7"/>
        <v>2000</v>
      </c>
      <c r="O52">
        <f t="shared" si="8"/>
        <v>1.7</v>
      </c>
      <c r="P52" s="210">
        <f t="shared" si="6"/>
        <v>3400</v>
      </c>
      <c r="S52" s="302" t="s">
        <v>190</v>
      </c>
      <c r="T52" s="250">
        <v>40</v>
      </c>
    </row>
    <row r="53" spans="1:24" x14ac:dyDescent="0.35">
      <c r="B53" t="s">
        <v>180</v>
      </c>
      <c r="C53" t="s">
        <v>181</v>
      </c>
      <c r="F53" s="210">
        <v>250</v>
      </c>
      <c r="G53" s="36">
        <f>IF((B32+L32+M32-50)&lt;0,0,(B32+L32+M32-50))</f>
        <v>0</v>
      </c>
      <c r="I53" s="73"/>
      <c r="J53" s="32"/>
      <c r="K53" s="32"/>
      <c r="L53" s="74"/>
      <c r="N53" s="210">
        <f t="shared" si="7"/>
        <v>0</v>
      </c>
      <c r="O53">
        <f t="shared" si="8"/>
        <v>1.7</v>
      </c>
      <c r="P53" s="210">
        <f t="shared" si="6"/>
        <v>0</v>
      </c>
      <c r="S53" s="302" t="s">
        <v>196</v>
      </c>
      <c r="T53" s="250">
        <v>60</v>
      </c>
      <c r="U53" s="170" t="s">
        <v>498</v>
      </c>
    </row>
    <row r="54" spans="1:24" x14ac:dyDescent="0.35">
      <c r="B54" t="s">
        <v>171</v>
      </c>
      <c r="C54" t="s">
        <v>274</v>
      </c>
      <c r="F54" s="210">
        <v>20</v>
      </c>
      <c r="G54">
        <f>T31*0.9*R43</f>
        <v>641.70000000000005</v>
      </c>
      <c r="I54" s="73"/>
      <c r="J54" s="32"/>
      <c r="K54" s="32"/>
      <c r="L54" s="74"/>
      <c r="N54" s="210">
        <f t="shared" si="7"/>
        <v>12834</v>
      </c>
      <c r="O54">
        <f>O53</f>
        <v>1.7</v>
      </c>
      <c r="P54" s="210">
        <f t="shared" si="6"/>
        <v>21817.8</v>
      </c>
      <c r="S54" s="302" t="s">
        <v>191</v>
      </c>
      <c r="T54" s="250">
        <v>60</v>
      </c>
      <c r="U54" s="250">
        <v>75</v>
      </c>
    </row>
    <row r="55" spans="1:24" x14ac:dyDescent="0.35">
      <c r="B55" t="s">
        <v>172</v>
      </c>
      <c r="C55" t="s">
        <v>374</v>
      </c>
      <c r="F55" s="210">
        <v>4.3</v>
      </c>
      <c r="G55" s="160">
        <f>(T31+S34+S35)*R43</f>
        <v>2171</v>
      </c>
      <c r="I55" s="73"/>
      <c r="J55" s="32"/>
      <c r="K55" s="32"/>
      <c r="L55" s="74"/>
      <c r="N55" s="210">
        <f t="shared" si="7"/>
        <v>9335.2999999999993</v>
      </c>
      <c r="O55">
        <f>O54</f>
        <v>1.7</v>
      </c>
      <c r="P55" s="210">
        <f t="shared" si="6"/>
        <v>15870.009999999998</v>
      </c>
      <c r="S55" s="302" t="s">
        <v>164</v>
      </c>
      <c r="T55" s="250">
        <v>60</v>
      </c>
      <c r="U55" s="250">
        <v>75</v>
      </c>
    </row>
    <row r="56" spans="1:24" x14ac:dyDescent="0.35">
      <c r="B56" t="s">
        <v>182</v>
      </c>
      <c r="C56" t="s">
        <v>186</v>
      </c>
      <c r="F56" s="210">
        <v>60</v>
      </c>
      <c r="G56" s="160">
        <f>(4*G43+O32+G46)*R43</f>
        <v>52</v>
      </c>
      <c r="I56" s="73"/>
      <c r="J56" s="32"/>
      <c r="K56" s="32"/>
      <c r="L56" s="74"/>
      <c r="N56" s="210">
        <f>F56*G56</f>
        <v>3120</v>
      </c>
      <c r="O56">
        <f>O55</f>
        <v>1.7</v>
      </c>
      <c r="P56" s="210">
        <f t="shared" ref="P56:P63" si="9">N56*O56</f>
        <v>5304</v>
      </c>
      <c r="S56" s="302"/>
    </row>
    <row r="57" spans="1:24" x14ac:dyDescent="0.35">
      <c r="B57" t="s">
        <v>183</v>
      </c>
      <c r="C57" t="s">
        <v>184</v>
      </c>
      <c r="F57" s="210">
        <v>500</v>
      </c>
      <c r="G57">
        <f>ROUNDUP(G56/6,0)</f>
        <v>9</v>
      </c>
      <c r="I57" s="73"/>
      <c r="J57" s="32"/>
      <c r="K57" s="32"/>
      <c r="L57" s="74"/>
      <c r="N57" s="210">
        <f>F57*G57</f>
        <v>4500</v>
      </c>
      <c r="O57">
        <f>O56</f>
        <v>1.7</v>
      </c>
      <c r="P57" s="210">
        <f t="shared" si="9"/>
        <v>7650</v>
      </c>
    </row>
    <row r="58" spans="1:24" x14ac:dyDescent="0.35">
      <c r="B58" t="s">
        <v>185</v>
      </c>
      <c r="C58" t="s">
        <v>187</v>
      </c>
      <c r="F58" s="210">
        <v>65</v>
      </c>
      <c r="G58" s="160">
        <f>2*G43+G46</f>
        <v>14</v>
      </c>
      <c r="I58" s="73"/>
      <c r="J58" s="32"/>
      <c r="K58" s="32"/>
      <c r="L58" s="74"/>
      <c r="N58" s="210">
        <f>F58*G58</f>
        <v>910</v>
      </c>
      <c r="O58">
        <f>O57</f>
        <v>1.7</v>
      </c>
      <c r="P58" s="210">
        <f t="shared" si="9"/>
        <v>1547</v>
      </c>
    </row>
    <row r="59" spans="1:24" x14ac:dyDescent="0.35">
      <c r="F59" s="210"/>
      <c r="H59" s="64" t="s">
        <v>218</v>
      </c>
      <c r="I59" s="75"/>
      <c r="J59" s="238">
        <f>SUM(J48:J57)</f>
        <v>160</v>
      </c>
      <c r="K59" s="76"/>
      <c r="L59" s="238">
        <f>SUM(L48:L57)</f>
        <v>132</v>
      </c>
      <c r="N59" s="210"/>
      <c r="P59" s="210"/>
    </row>
    <row r="60" spans="1:24" s="282" customFormat="1" x14ac:dyDescent="0.35">
      <c r="A60" s="76"/>
      <c r="B60" s="76"/>
      <c r="C60" s="76"/>
      <c r="D60" s="76"/>
      <c r="E60" s="76"/>
      <c r="F60" s="262"/>
      <c r="G60" s="76"/>
      <c r="H60" s="76"/>
      <c r="I60" s="76"/>
      <c r="J60" s="307"/>
      <c r="K60" s="76"/>
      <c r="L60" s="307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</row>
    <row r="61" spans="1:24" s="304" customFormat="1" x14ac:dyDescent="0.35">
      <c r="F61" s="210"/>
      <c r="H61" s="32"/>
      <c r="I61" s="32"/>
      <c r="J61" s="279"/>
      <c r="K61" s="32"/>
      <c r="L61" s="279"/>
      <c r="N61" s="210"/>
      <c r="P61" s="210"/>
    </row>
    <row r="62" spans="1:24" x14ac:dyDescent="0.35">
      <c r="F62" s="210"/>
      <c r="G62" t="s">
        <v>193</v>
      </c>
      <c r="I62" t="s">
        <v>386</v>
      </c>
      <c r="N62" s="210"/>
      <c r="P62" s="210"/>
    </row>
    <row r="63" spans="1:24" x14ac:dyDescent="0.35">
      <c r="A63" t="s">
        <v>188</v>
      </c>
      <c r="B63" t="s">
        <v>189</v>
      </c>
      <c r="C63" t="s">
        <v>381</v>
      </c>
      <c r="F63" s="210">
        <f>T51</f>
        <v>30</v>
      </c>
      <c r="G63" s="215">
        <f>(G48+G49)*50</f>
        <v>350</v>
      </c>
      <c r="I63" s="117">
        <f t="shared" ref="I63:I69" si="10">G63/40</f>
        <v>8.75</v>
      </c>
      <c r="N63" s="210">
        <f>G63*F63</f>
        <v>10500</v>
      </c>
      <c r="O63" s="151">
        <f>O43</f>
        <v>1.7</v>
      </c>
      <c r="P63" s="210">
        <f t="shared" si="9"/>
        <v>17850</v>
      </c>
    </row>
    <row r="64" spans="1:24" x14ac:dyDescent="0.35">
      <c r="B64" t="s">
        <v>192</v>
      </c>
      <c r="C64" t="s">
        <v>382</v>
      </c>
      <c r="F64" s="210">
        <f>T52</f>
        <v>40</v>
      </c>
      <c r="G64" s="215">
        <f>(T34+T35)/8*R43</f>
        <v>209.75</v>
      </c>
      <c r="I64" s="117">
        <f t="shared" si="10"/>
        <v>5.2437500000000004</v>
      </c>
      <c r="M64" s="160">
        <f>SUM(M51:M62)</f>
        <v>0</v>
      </c>
      <c r="N64" s="210">
        <f t="shared" ref="N64:N69" si="11">F64*G64</f>
        <v>8390</v>
      </c>
      <c r="O64">
        <f t="shared" ref="O64:O69" si="12">O63</f>
        <v>1.7</v>
      </c>
      <c r="P64" s="210">
        <f t="shared" ref="P64:P69" si="13">N64*O64</f>
        <v>14263</v>
      </c>
    </row>
    <row r="65" spans="1:24" ht="15" thickBot="1" x14ac:dyDescent="0.4">
      <c r="B65" t="s">
        <v>194</v>
      </c>
      <c r="C65" t="s">
        <v>383</v>
      </c>
      <c r="F65" s="210">
        <f>T52</f>
        <v>40</v>
      </c>
      <c r="G65" s="215">
        <f>(T34+T35)/12*R43</f>
        <v>139.83333333333334</v>
      </c>
      <c r="I65" s="117">
        <f t="shared" si="10"/>
        <v>3.4958333333333336</v>
      </c>
      <c r="N65" s="210">
        <f t="shared" si="11"/>
        <v>5593.3333333333339</v>
      </c>
      <c r="O65">
        <f t="shared" si="12"/>
        <v>1.7</v>
      </c>
      <c r="P65" s="210">
        <f t="shared" si="13"/>
        <v>9508.6666666666679</v>
      </c>
      <c r="S65" s="503" t="s">
        <v>502</v>
      </c>
      <c r="T65" s="503"/>
      <c r="U65" s="503"/>
      <c r="V65" t="s">
        <v>500</v>
      </c>
      <c r="W65" t="s">
        <v>501</v>
      </c>
    </row>
    <row r="66" spans="1:24" ht="15" thickBot="1" x14ac:dyDescent="0.4">
      <c r="B66" t="s">
        <v>195</v>
      </c>
      <c r="C66" t="s">
        <v>384</v>
      </c>
      <c r="F66" s="210">
        <f>T52</f>
        <v>40</v>
      </c>
      <c r="G66" s="215">
        <f>(T34+T35)/20*R43</f>
        <v>83.9</v>
      </c>
      <c r="I66" s="117">
        <f t="shared" si="10"/>
        <v>2.0975000000000001</v>
      </c>
      <c r="N66" s="210">
        <f t="shared" si="11"/>
        <v>3356</v>
      </c>
      <c r="O66">
        <f t="shared" si="12"/>
        <v>1.7</v>
      </c>
      <c r="P66" s="210">
        <f t="shared" si="13"/>
        <v>5705.2</v>
      </c>
      <c r="S66" s="500">
        <v>0</v>
      </c>
      <c r="T66" s="501"/>
      <c r="U66" s="502"/>
      <c r="W66" s="343">
        <f>IF(S66&gt;0,1,0)</f>
        <v>0</v>
      </c>
    </row>
    <row r="67" spans="1:24" x14ac:dyDescent="0.35">
      <c r="B67" t="s">
        <v>196</v>
      </c>
      <c r="C67" t="s">
        <v>276</v>
      </c>
      <c r="F67" s="210">
        <f>T53</f>
        <v>60</v>
      </c>
      <c r="G67" s="215">
        <f>G43*50</f>
        <v>100</v>
      </c>
      <c r="H67" s="170" t="s">
        <v>204</v>
      </c>
      <c r="I67" s="117">
        <f t="shared" si="10"/>
        <v>2.5</v>
      </c>
      <c r="N67" s="210">
        <f t="shared" si="11"/>
        <v>6000</v>
      </c>
      <c r="O67">
        <f t="shared" si="12"/>
        <v>1.7</v>
      </c>
      <c r="P67" s="210">
        <f t="shared" si="13"/>
        <v>10200</v>
      </c>
      <c r="R67" s="210"/>
    </row>
    <row r="68" spans="1:24" x14ac:dyDescent="0.35">
      <c r="B68" t="s">
        <v>197</v>
      </c>
      <c r="C68" t="s">
        <v>385</v>
      </c>
      <c r="F68" s="210">
        <f>T55</f>
        <v>60</v>
      </c>
      <c r="G68" s="215">
        <f>(G43*H68+(T34+T35)/10+N32+O32)*R43</f>
        <v>371.8</v>
      </c>
      <c r="H68" s="148">
        <v>80</v>
      </c>
      <c r="I68" s="117">
        <f t="shared" si="10"/>
        <v>9.2949999999999999</v>
      </c>
      <c r="N68" s="210">
        <f t="shared" si="11"/>
        <v>22308</v>
      </c>
      <c r="O68">
        <f t="shared" si="12"/>
        <v>1.7</v>
      </c>
      <c r="P68" s="210">
        <f t="shared" si="13"/>
        <v>37923.599999999999</v>
      </c>
    </row>
    <row r="69" spans="1:24" x14ac:dyDescent="0.35">
      <c r="B69" t="s">
        <v>198</v>
      </c>
      <c r="C69" t="s">
        <v>385</v>
      </c>
      <c r="F69" s="210">
        <f>T54</f>
        <v>60</v>
      </c>
      <c r="G69" s="215">
        <f>(G43*H69+(T34+T35)/10+N32+O32)*R43</f>
        <v>371.8</v>
      </c>
      <c r="H69" s="171">
        <v>80</v>
      </c>
      <c r="I69" s="117">
        <f t="shared" si="10"/>
        <v>9.2949999999999999</v>
      </c>
      <c r="N69" s="210">
        <f t="shared" si="11"/>
        <v>22308</v>
      </c>
      <c r="O69">
        <f t="shared" si="12"/>
        <v>1.7</v>
      </c>
      <c r="P69" s="210">
        <f t="shared" si="13"/>
        <v>37923.599999999999</v>
      </c>
    </row>
    <row r="70" spans="1:24" s="281" customFormat="1" x14ac:dyDescent="0.35">
      <c r="F70" s="210"/>
      <c r="G70" s="215"/>
      <c r="H70" s="32"/>
      <c r="I70" s="117"/>
    </row>
    <row r="71" spans="1:24" x14ac:dyDescent="0.35">
      <c r="F71" s="210"/>
      <c r="G71" s="215"/>
      <c r="M71" t="s">
        <v>17</v>
      </c>
      <c r="N71" s="210">
        <f>SUM(N43:N69)</f>
        <v>191189.63333333333</v>
      </c>
      <c r="P71" s="210">
        <f>SUM(P43:P69)</f>
        <v>325022.37666666665</v>
      </c>
      <c r="S71" s="160"/>
    </row>
    <row r="72" spans="1:24" s="304" customFormat="1" x14ac:dyDescent="0.35">
      <c r="F72" s="210"/>
      <c r="G72" s="215"/>
      <c r="M72" s="76" t="s">
        <v>455</v>
      </c>
      <c r="N72" s="262">
        <f>T46</f>
        <v>1450</v>
      </c>
      <c r="O72" s="76">
        <f>O58</f>
        <v>1.7</v>
      </c>
      <c r="P72" s="262">
        <f>ROUNDUP(N72*O72,-2)</f>
        <v>2500</v>
      </c>
      <c r="S72" s="160"/>
    </row>
    <row r="73" spans="1:24" s="304" customFormat="1" x14ac:dyDescent="0.35">
      <c r="F73" s="210"/>
      <c r="G73" s="215"/>
      <c r="N73" s="210"/>
      <c r="P73" s="210"/>
      <c r="S73" s="160"/>
    </row>
    <row r="74" spans="1:24" x14ac:dyDescent="0.35">
      <c r="F74" s="210"/>
      <c r="G74" s="215"/>
      <c r="N74" s="210">
        <f>N71+N72</f>
        <v>192639.63333333333</v>
      </c>
      <c r="P74" s="251">
        <f>ROUNDUP(P71+P72,0)</f>
        <v>327523</v>
      </c>
    </row>
    <row r="75" spans="1:24" s="304" customFormat="1" x14ac:dyDescent="0.35">
      <c r="A75" s="76"/>
      <c r="B75" s="76"/>
      <c r="C75" s="76"/>
      <c r="D75" s="76"/>
      <c r="E75" s="76"/>
      <c r="F75" s="262"/>
      <c r="G75" s="261"/>
      <c r="H75" s="76"/>
      <c r="I75" s="76"/>
      <c r="J75" s="76"/>
      <c r="K75" s="76"/>
      <c r="L75" s="76"/>
      <c r="M75" s="76"/>
      <c r="N75" s="262"/>
      <c r="O75" s="76"/>
      <c r="P75" s="76"/>
      <c r="Q75" s="76"/>
      <c r="R75" s="76"/>
      <c r="S75" s="76"/>
      <c r="T75" s="76"/>
      <c r="U75" s="76"/>
      <c r="V75" s="76"/>
      <c r="W75" s="76"/>
      <c r="X75" s="76"/>
    </row>
    <row r="76" spans="1:24" x14ac:dyDescent="0.35">
      <c r="A76" t="s">
        <v>199</v>
      </c>
      <c r="F76" s="210"/>
      <c r="G76" s="215"/>
      <c r="N76" s="210"/>
    </row>
    <row r="77" spans="1:24" x14ac:dyDescent="0.35">
      <c r="A77" s="78" t="s">
        <v>363</v>
      </c>
      <c r="B77" s="263" t="s">
        <v>373</v>
      </c>
      <c r="C77" s="264">
        <v>0.75</v>
      </c>
      <c r="D77" s="79"/>
      <c r="E77" s="79"/>
      <c r="F77" s="254">
        <f>'AP und Sort'!O3</f>
        <v>31</v>
      </c>
      <c r="G77" s="255">
        <f>(S34+S35)*C77</f>
        <v>1093.5</v>
      </c>
      <c r="H77" s="79"/>
      <c r="I77" s="79"/>
      <c r="J77" s="79"/>
      <c r="K77" s="79"/>
      <c r="L77" s="79"/>
      <c r="M77" s="79"/>
      <c r="N77" s="254">
        <f>F77*G77</f>
        <v>33898.5</v>
      </c>
      <c r="O77" s="79">
        <f>'AP und Sort'!I42</f>
        <v>2</v>
      </c>
      <c r="P77" s="251">
        <f>N77*O77</f>
        <v>67797</v>
      </c>
    </row>
    <row r="78" spans="1:24" x14ac:dyDescent="0.35">
      <c r="A78" s="70"/>
      <c r="B78" s="71" t="s">
        <v>366</v>
      </c>
      <c r="C78" s="71" t="s">
        <v>337</v>
      </c>
      <c r="D78" s="71" t="s">
        <v>367</v>
      </c>
      <c r="E78" s="71" t="s">
        <v>369</v>
      </c>
      <c r="F78" s="256"/>
      <c r="G78" s="257"/>
      <c r="H78" s="71" t="s">
        <v>336</v>
      </c>
      <c r="I78" s="71" t="s">
        <v>368</v>
      </c>
      <c r="J78" s="71" t="s">
        <v>333</v>
      </c>
      <c r="K78" s="71" t="s">
        <v>332</v>
      </c>
      <c r="L78" s="71"/>
      <c r="M78" s="71"/>
      <c r="N78" s="256"/>
      <c r="O78" s="71"/>
      <c r="P78" s="258"/>
    </row>
    <row r="79" spans="1:24" x14ac:dyDescent="0.35">
      <c r="A79" s="73" t="s">
        <v>364</v>
      </c>
      <c r="B79" s="192">
        <f>G69*1</f>
        <v>371.8</v>
      </c>
      <c r="C79" s="192">
        <f>Tabellen!AA61</f>
        <v>17.777777777777779</v>
      </c>
      <c r="D79" s="192">
        <f>B79+C79*H79</f>
        <v>425.13333333333333</v>
      </c>
      <c r="E79" s="32">
        <f>ROUNDUP(B79/50*7,0)+(ROUNDUP(C79/8,0))*H79</f>
        <v>62</v>
      </c>
      <c r="F79" s="32"/>
      <c r="G79" s="32"/>
      <c r="H79" s="32">
        <f>ROUNDUP(B79/150,0)</f>
        <v>3</v>
      </c>
      <c r="I79" s="32">
        <f>Tabellen!AB62</f>
        <v>1728</v>
      </c>
      <c r="J79" s="32">
        <f>Übersicht!D60*(E79-H79)</f>
        <v>5015</v>
      </c>
      <c r="K79" s="32">
        <f>Übersicht!D61*E79</f>
        <v>3162</v>
      </c>
      <c r="L79" s="32"/>
      <c r="M79" s="32"/>
      <c r="N79" s="259">
        <f>D79*U54+H79*I79+J79+K79</f>
        <v>45246</v>
      </c>
      <c r="O79" s="151">
        <f>O63</f>
        <v>1.7</v>
      </c>
      <c r="P79" s="260">
        <f>N79*O79</f>
        <v>76918.2</v>
      </c>
    </row>
    <row r="80" spans="1:24" x14ac:dyDescent="0.35">
      <c r="A80" s="73" t="s">
        <v>365</v>
      </c>
      <c r="B80" s="192">
        <f>G68*0.6</f>
        <v>223.08</v>
      </c>
      <c r="C80" s="192">
        <f>C79</f>
        <v>17.777777777777779</v>
      </c>
      <c r="D80" s="192">
        <f>B80+C80*H80</f>
        <v>258.63555555555558</v>
      </c>
      <c r="E80" s="32">
        <f>ROUNDUP(B80/50*7,0)+(ROUNDUP(C80/8,0))*H80</f>
        <v>38</v>
      </c>
      <c r="F80" s="32"/>
      <c r="G80" s="32"/>
      <c r="H80" s="32">
        <f>ROUNDUP(B80/150,0)</f>
        <v>2</v>
      </c>
      <c r="I80" s="32">
        <f>Tabellen!AB62</f>
        <v>1728</v>
      </c>
      <c r="J80" s="32">
        <f>Übersicht!D60*(E80-H80)</f>
        <v>3060</v>
      </c>
      <c r="K80" s="32">
        <f>Übersicht!D61*E80</f>
        <v>1938</v>
      </c>
      <c r="L80" s="32"/>
      <c r="M80" s="32"/>
      <c r="N80" s="259">
        <f>D80*U55+H80*I80+J80+K80</f>
        <v>27851.666666666668</v>
      </c>
      <c r="O80" s="32">
        <f>O79</f>
        <v>1.7</v>
      </c>
      <c r="P80" s="260">
        <f>N80*O80</f>
        <v>47347.833333333336</v>
      </c>
    </row>
    <row r="81" spans="1:16" x14ac:dyDescent="0.35">
      <c r="A81" s="75" t="s">
        <v>20</v>
      </c>
      <c r="B81" s="76"/>
      <c r="C81" s="76"/>
      <c r="D81" s="261">
        <f>SUM(D79:D80)</f>
        <v>683.76888888888891</v>
      </c>
      <c r="E81" s="76"/>
      <c r="F81" s="76"/>
      <c r="G81" s="76"/>
      <c r="H81" s="76"/>
      <c r="I81" s="76"/>
      <c r="J81" s="76"/>
      <c r="K81" s="76"/>
      <c r="L81" s="76"/>
      <c r="M81" s="76"/>
      <c r="N81" s="262">
        <f>SUM(N79:N80)</f>
        <v>73097.666666666672</v>
      </c>
      <c r="O81" s="76"/>
      <c r="P81" s="251">
        <f>SUM(P79:P80)</f>
        <v>124266.03333333333</v>
      </c>
    </row>
  </sheetData>
  <mergeCells count="4">
    <mergeCell ref="Q36:S36"/>
    <mergeCell ref="S50:T50"/>
    <mergeCell ref="S66:U66"/>
    <mergeCell ref="S65:U65"/>
  </mergeCells>
  <phoneticPr fontId="0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T37"/>
  <sheetViews>
    <sheetView workbookViewId="0">
      <selection activeCell="C18" sqref="C18"/>
    </sheetView>
  </sheetViews>
  <sheetFormatPr baseColWidth="10" defaultRowHeight="14.5" x14ac:dyDescent="0.35"/>
  <cols>
    <col min="1" max="1" width="25.453125" customWidth="1"/>
    <col min="2" max="2" width="10.7265625" customWidth="1"/>
    <col min="3" max="3" width="11.54296875" customWidth="1"/>
    <col min="4" max="4" width="21.81640625" customWidth="1"/>
    <col min="5" max="5" width="10.7265625" customWidth="1"/>
    <col min="6" max="6" width="12" customWidth="1"/>
    <col min="7" max="7" width="10.7265625" customWidth="1"/>
    <col min="8" max="8" width="11.453125" bestFit="1" customWidth="1"/>
    <col min="9" max="9" width="10.7265625" customWidth="1"/>
    <col min="10" max="10" width="11.54296875" customWidth="1"/>
    <col min="11" max="12" width="10.7265625" customWidth="1"/>
    <col min="13" max="13" width="11.81640625" bestFit="1" customWidth="1"/>
    <col min="14" max="14" width="14.26953125" customWidth="1"/>
    <col min="15" max="16" width="10.7265625" customWidth="1"/>
    <col min="17" max="17" width="13.26953125" customWidth="1"/>
    <col min="19" max="19" width="12.54296875" customWidth="1"/>
    <col min="20" max="20" width="12.453125" customWidth="1"/>
  </cols>
  <sheetData>
    <row r="1" spans="1:17" ht="24.75" customHeight="1" thickBot="1" x14ac:dyDescent="0.4">
      <c r="A1" s="101" t="s">
        <v>74</v>
      </c>
      <c r="B1" s="102" t="str">
        <f>Übersicht!C3</f>
        <v>Faurecia Entwurf 1</v>
      </c>
      <c r="C1" s="102"/>
      <c r="D1" s="102"/>
      <c r="E1" s="101" t="s">
        <v>75</v>
      </c>
      <c r="F1" s="103">
        <f>Übersicht!D3</f>
        <v>44322</v>
      </c>
      <c r="G1" s="102"/>
      <c r="H1" s="102"/>
      <c r="I1" s="102"/>
      <c r="J1" s="102"/>
      <c r="K1" s="102"/>
      <c r="L1" s="102"/>
      <c r="M1" s="102"/>
      <c r="N1" s="102"/>
      <c r="O1" s="104" t="s">
        <v>33</v>
      </c>
      <c r="P1" s="105" t="str">
        <f>Übersicht!D2</f>
        <v>Datum</v>
      </c>
    </row>
    <row r="2" spans="1:17" x14ac:dyDescent="0.35">
      <c r="A2" t="s">
        <v>375</v>
      </c>
    </row>
    <row r="3" spans="1:17" x14ac:dyDescent="0.35">
      <c r="A3" s="317" t="s">
        <v>152</v>
      </c>
      <c r="B3" s="305"/>
      <c r="C3" s="305"/>
      <c r="D3" s="305"/>
      <c r="E3" s="305"/>
      <c r="F3" s="72"/>
      <c r="G3" s="32"/>
      <c r="H3" s="32"/>
      <c r="I3" s="32"/>
      <c r="J3" s="317" t="s">
        <v>513</v>
      </c>
      <c r="K3" s="346"/>
      <c r="L3" s="346"/>
      <c r="M3" s="346"/>
      <c r="N3" s="346"/>
      <c r="O3" s="346"/>
      <c r="P3" s="72"/>
      <c r="Q3" s="349"/>
    </row>
    <row r="4" spans="1:17" x14ac:dyDescent="0.35">
      <c r="A4" s="73"/>
      <c r="B4" s="32"/>
      <c r="C4" s="32"/>
      <c r="D4" s="32"/>
      <c r="E4" s="32"/>
      <c r="F4" s="74"/>
      <c r="G4" s="32"/>
      <c r="H4" s="32"/>
      <c r="I4" s="32"/>
      <c r="J4" s="73"/>
      <c r="K4" s="349"/>
      <c r="L4" s="349"/>
      <c r="M4" s="349"/>
      <c r="N4" s="504" t="s">
        <v>546</v>
      </c>
      <c r="O4" s="504"/>
      <c r="P4" s="318">
        <v>150</v>
      </c>
      <c r="Q4" s="349"/>
    </row>
    <row r="5" spans="1:17" x14ac:dyDescent="0.35">
      <c r="A5" s="73"/>
      <c r="B5" s="32" t="s">
        <v>56</v>
      </c>
      <c r="C5" s="32"/>
      <c r="D5" s="32"/>
      <c r="E5" s="32"/>
      <c r="F5" s="74"/>
      <c r="G5" s="32"/>
      <c r="H5" s="32"/>
      <c r="I5" s="32"/>
      <c r="J5" s="73"/>
      <c r="K5" s="349" t="s">
        <v>51</v>
      </c>
      <c r="L5" s="349"/>
      <c r="M5" s="349"/>
      <c r="N5" s="504" t="s">
        <v>545</v>
      </c>
      <c r="O5" s="504"/>
      <c r="P5" s="318">
        <v>100</v>
      </c>
      <c r="Q5" s="349"/>
    </row>
    <row r="6" spans="1:17" x14ac:dyDescent="0.35">
      <c r="A6" s="73"/>
      <c r="B6" s="32" t="s">
        <v>201</v>
      </c>
      <c r="C6" s="308">
        <v>550</v>
      </c>
      <c r="D6" s="32" t="s">
        <v>200</v>
      </c>
      <c r="E6" s="259">
        <v>60000</v>
      </c>
      <c r="F6" s="74" t="s">
        <v>58</v>
      </c>
      <c r="G6" s="32"/>
      <c r="H6" s="32"/>
      <c r="I6" s="32"/>
      <c r="J6" s="73"/>
      <c r="K6" s="349" t="s">
        <v>47</v>
      </c>
      <c r="L6" s="349" t="s">
        <v>52</v>
      </c>
      <c r="M6" s="349" t="s">
        <v>53</v>
      </c>
      <c r="N6" s="349"/>
      <c r="O6" s="349"/>
      <c r="P6" s="74"/>
      <c r="Q6" s="349"/>
    </row>
    <row r="7" spans="1:17" x14ac:dyDescent="0.35">
      <c r="A7" s="73"/>
      <c r="B7" s="309"/>
      <c r="C7" s="32"/>
      <c r="D7" s="32" t="s">
        <v>57</v>
      </c>
      <c r="E7" s="259">
        <f>ROUNDUP(B7/C6*E6,-3)</f>
        <v>0</v>
      </c>
      <c r="F7" s="74"/>
      <c r="G7" s="310">
        <f>IF(B7&gt;0,1,0)</f>
        <v>0</v>
      </c>
      <c r="I7" s="32"/>
      <c r="J7" s="73" t="s">
        <v>54</v>
      </c>
      <c r="K7" s="309">
        <v>0</v>
      </c>
      <c r="L7" s="349"/>
      <c r="M7" s="259">
        <f>P5</f>
        <v>100</v>
      </c>
      <c r="N7" s="259">
        <f>K7*M7</f>
        <v>0</v>
      </c>
      <c r="O7" s="152"/>
      <c r="P7" s="74" t="s">
        <v>12</v>
      </c>
      <c r="Q7" s="349"/>
    </row>
    <row r="8" spans="1:17" x14ac:dyDescent="0.35">
      <c r="A8" s="73"/>
      <c r="B8" s="32"/>
      <c r="C8" s="32"/>
      <c r="D8" s="32" t="s">
        <v>59</v>
      </c>
      <c r="E8" s="167">
        <f>G8</f>
        <v>1.5</v>
      </c>
      <c r="F8" s="74"/>
      <c r="G8" s="347">
        <v>1.5</v>
      </c>
      <c r="H8" s="32" t="s">
        <v>539</v>
      </c>
      <c r="I8" s="32"/>
      <c r="J8" s="73" t="s">
        <v>55</v>
      </c>
      <c r="K8" s="309">
        <v>0</v>
      </c>
      <c r="L8" s="259">
        <f>P4</f>
        <v>150</v>
      </c>
      <c r="M8" s="259"/>
      <c r="N8" s="259">
        <f>K8*L8</f>
        <v>0</v>
      </c>
      <c r="O8" s="349"/>
      <c r="P8" s="74"/>
      <c r="Q8" s="349"/>
    </row>
    <row r="9" spans="1:17" x14ac:dyDescent="0.35">
      <c r="A9" s="73"/>
      <c r="B9" s="32"/>
      <c r="C9" s="32"/>
      <c r="D9" s="32"/>
      <c r="E9" s="311">
        <f>E7*E8</f>
        <v>0</v>
      </c>
      <c r="F9" s="74"/>
      <c r="G9" s="347">
        <v>2</v>
      </c>
      <c r="H9" s="32" t="s">
        <v>540</v>
      </c>
      <c r="I9" s="32"/>
      <c r="J9" s="73"/>
      <c r="K9" s="259"/>
      <c r="L9" s="259"/>
      <c r="M9" s="349"/>
      <c r="N9" s="259"/>
      <c r="O9" s="349"/>
      <c r="P9" s="74"/>
      <c r="Q9" s="349"/>
    </row>
    <row r="10" spans="1:17" x14ac:dyDescent="0.35">
      <c r="A10" s="73"/>
      <c r="B10" s="32"/>
      <c r="C10" s="32"/>
      <c r="D10" s="32"/>
      <c r="E10" s="32"/>
      <c r="F10" s="74"/>
      <c r="G10" s="32"/>
      <c r="H10" s="32"/>
      <c r="I10" s="32"/>
      <c r="J10" s="73" t="s">
        <v>17</v>
      </c>
      <c r="K10" s="308">
        <f>IF(K7&gt;K8,K7,K8)</f>
        <v>0</v>
      </c>
      <c r="L10" s="349"/>
      <c r="M10" s="349"/>
      <c r="N10" s="312">
        <f>SUM(N7:N9)*0.8</f>
        <v>0</v>
      </c>
      <c r="O10" s="167">
        <f>G8</f>
        <v>1.5</v>
      </c>
      <c r="P10" s="319">
        <f>N10*O10</f>
        <v>0</v>
      </c>
      <c r="Q10" s="349"/>
    </row>
    <row r="11" spans="1:17" x14ac:dyDescent="0.35">
      <c r="A11" s="75"/>
      <c r="B11" s="76"/>
      <c r="C11" s="76"/>
      <c r="D11" s="76"/>
      <c r="E11" s="262"/>
      <c r="F11" s="77"/>
      <c r="G11" s="32"/>
      <c r="H11" s="32"/>
      <c r="I11" s="32"/>
      <c r="J11" s="73" t="s">
        <v>153</v>
      </c>
      <c r="K11" s="349"/>
      <c r="L11" s="349"/>
      <c r="M11" s="349"/>
      <c r="N11" s="311">
        <f>ROUNDUP(K10*15,-3)</f>
        <v>0</v>
      </c>
      <c r="O11" s="167">
        <f>'AP und Sort'!I42</f>
        <v>2</v>
      </c>
      <c r="P11" s="321">
        <f>N11*O11</f>
        <v>0</v>
      </c>
      <c r="Q11" s="349"/>
    </row>
    <row r="12" spans="1:17" x14ac:dyDescent="0.35">
      <c r="A12" s="70"/>
      <c r="B12" s="345"/>
      <c r="C12" s="345"/>
      <c r="D12" s="345"/>
      <c r="E12" s="256"/>
      <c r="F12" s="72"/>
      <c r="G12" s="32"/>
      <c r="H12" s="32"/>
      <c r="I12" s="32"/>
      <c r="J12" s="73" t="s">
        <v>17</v>
      </c>
      <c r="K12" s="349"/>
      <c r="L12" s="349"/>
      <c r="M12" s="349"/>
      <c r="N12" s="326">
        <f>N10+N11</f>
        <v>0</v>
      </c>
      <c r="O12" s="349"/>
      <c r="P12" s="348">
        <f>P10+P11</f>
        <v>0</v>
      </c>
      <c r="Q12" s="349"/>
    </row>
    <row r="13" spans="1:17" x14ac:dyDescent="0.35">
      <c r="A13" s="73" t="s">
        <v>50</v>
      </c>
      <c r="B13" s="32"/>
      <c r="C13" s="311">
        <f>ROUNDUP(B7*15,-2)</f>
        <v>0</v>
      </c>
      <c r="D13" s="167">
        <f>'AP und Sort'!I42</f>
        <v>2</v>
      </c>
      <c r="E13" s="311">
        <f>C13*D13</f>
        <v>0</v>
      </c>
      <c r="F13" s="74"/>
      <c r="G13" s="32"/>
      <c r="H13" s="32"/>
      <c r="I13" s="32"/>
      <c r="J13" s="73"/>
      <c r="K13" s="349"/>
      <c r="L13" s="349"/>
      <c r="M13" s="349"/>
      <c r="N13" s="349"/>
      <c r="O13" s="349"/>
      <c r="P13" s="74"/>
      <c r="Q13" s="349"/>
    </row>
    <row r="14" spans="1:17" x14ac:dyDescent="0.35">
      <c r="A14" s="73" t="s">
        <v>353</v>
      </c>
      <c r="B14" s="32"/>
      <c r="C14" s="313">
        <f>C13/100</f>
        <v>0</v>
      </c>
      <c r="D14" s="32"/>
      <c r="E14" s="32"/>
      <c r="F14" s="74"/>
      <c r="G14" s="32"/>
      <c r="H14" s="32"/>
      <c r="I14" s="32"/>
      <c r="J14" s="73" t="s">
        <v>223</v>
      </c>
      <c r="K14" s="349"/>
      <c r="L14" s="313">
        <f>N11/100</f>
        <v>0</v>
      </c>
      <c r="M14" s="349"/>
      <c r="N14" s="349"/>
      <c r="O14" s="349"/>
      <c r="P14" s="74"/>
      <c r="Q14" s="349"/>
    </row>
    <row r="15" spans="1:17" x14ac:dyDescent="0.35">
      <c r="A15" s="75"/>
      <c r="B15" s="76"/>
      <c r="C15" s="261"/>
      <c r="D15" s="76"/>
      <c r="E15" s="76"/>
      <c r="F15" s="77"/>
      <c r="G15" s="32"/>
      <c r="H15" s="32"/>
      <c r="I15" s="32"/>
      <c r="J15" s="75"/>
      <c r="K15" s="76"/>
      <c r="L15" s="76"/>
      <c r="M15" s="76"/>
      <c r="N15" s="76"/>
      <c r="O15" s="76"/>
      <c r="P15" s="77"/>
      <c r="Q15" s="349"/>
    </row>
    <row r="16" spans="1:17" x14ac:dyDescent="0.3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20" x14ac:dyDescent="0.35">
      <c r="A17" s="320" t="s">
        <v>293</v>
      </c>
      <c r="B17" s="305"/>
      <c r="C17" s="305"/>
      <c r="D17" s="305"/>
      <c r="E17" s="305"/>
      <c r="F17" s="72"/>
      <c r="G17" s="32"/>
      <c r="H17" s="32"/>
      <c r="I17" s="32"/>
      <c r="J17" s="317" t="s">
        <v>503</v>
      </c>
      <c r="K17" s="346"/>
      <c r="L17" s="346"/>
      <c r="M17" s="346"/>
      <c r="N17" s="346"/>
      <c r="O17" s="346"/>
      <c r="P17" s="346"/>
      <c r="Q17" s="346"/>
      <c r="R17" s="346"/>
      <c r="S17" s="346"/>
      <c r="T17" s="72"/>
    </row>
    <row r="18" spans="1:20" x14ac:dyDescent="0.35">
      <c r="A18" s="73" t="s">
        <v>294</v>
      </c>
      <c r="B18" s="309">
        <v>2500</v>
      </c>
      <c r="C18" s="314">
        <v>30</v>
      </c>
      <c r="D18" s="167">
        <f>'AP und Sort'!I42</f>
        <v>2</v>
      </c>
      <c r="E18" s="311">
        <f>C19*D18</f>
        <v>150000</v>
      </c>
      <c r="F18" s="74"/>
      <c r="G18" s="32"/>
      <c r="H18" s="32"/>
      <c r="I18" s="32"/>
      <c r="J18" s="75" t="s">
        <v>504</v>
      </c>
      <c r="K18" s="76"/>
      <c r="L18" s="76"/>
      <c r="M18" s="351">
        <v>3</v>
      </c>
      <c r="N18" s="76" t="s">
        <v>511</v>
      </c>
      <c r="O18" s="76" t="s">
        <v>508</v>
      </c>
      <c r="P18" s="76" t="s">
        <v>509</v>
      </c>
      <c r="Q18" s="76"/>
      <c r="R18" s="349"/>
      <c r="S18" s="505" t="s">
        <v>510</v>
      </c>
      <c r="T18" s="506" t="s">
        <v>512</v>
      </c>
    </row>
    <row r="19" spans="1:20" x14ac:dyDescent="0.35">
      <c r="A19" s="73" t="s">
        <v>354</v>
      </c>
      <c r="B19" s="32"/>
      <c r="C19" s="311">
        <f>B18*C18</f>
        <v>75000</v>
      </c>
      <c r="D19" s="32"/>
      <c r="E19" s="32"/>
      <c r="F19" s="74"/>
      <c r="G19" s="32"/>
      <c r="H19" s="32"/>
      <c r="I19" s="32"/>
      <c r="J19" s="78" t="s">
        <v>541</v>
      </c>
      <c r="K19" s="356">
        <v>3600</v>
      </c>
      <c r="L19" s="79"/>
      <c r="M19" s="79"/>
      <c r="N19" s="79" t="s">
        <v>506</v>
      </c>
      <c r="O19" s="79" t="s">
        <v>52</v>
      </c>
      <c r="P19" s="79" t="s">
        <v>507</v>
      </c>
      <c r="Q19" s="357">
        <v>20</v>
      </c>
      <c r="R19" s="349"/>
      <c r="S19" s="505"/>
      <c r="T19" s="506"/>
    </row>
    <row r="20" spans="1:20" x14ac:dyDescent="0.35">
      <c r="A20" s="73" t="s">
        <v>355</v>
      </c>
      <c r="B20" s="32"/>
      <c r="C20" s="313">
        <f>C19/100</f>
        <v>750</v>
      </c>
      <c r="D20" s="32"/>
      <c r="E20" s="32"/>
      <c r="F20" s="74"/>
      <c r="G20" s="32"/>
      <c r="H20" s="32"/>
      <c r="I20" s="32"/>
      <c r="J20" s="355">
        <v>0</v>
      </c>
      <c r="K20" s="349"/>
      <c r="L20" s="349" t="s">
        <v>505</v>
      </c>
      <c r="M20" s="349"/>
      <c r="N20" s="259">
        <v>600000</v>
      </c>
      <c r="O20" s="259">
        <v>135000</v>
      </c>
      <c r="P20" s="259">
        <v>29000</v>
      </c>
      <c r="Q20" s="259">
        <f>(N20+O20+P20)/100*Q19</f>
        <v>152800</v>
      </c>
      <c r="R20" s="259">
        <f>SUM(N20:Q20)*J20</f>
        <v>0</v>
      </c>
      <c r="S20" s="259">
        <f>R20/K19</f>
        <v>0</v>
      </c>
      <c r="T20" s="260">
        <f>R20/(K19*M18)</f>
        <v>0</v>
      </c>
    </row>
    <row r="21" spans="1:20" x14ac:dyDescent="0.35">
      <c r="A21" s="75"/>
      <c r="B21" s="76"/>
      <c r="C21" s="261"/>
      <c r="D21" s="76"/>
      <c r="E21" s="76"/>
      <c r="F21" s="77"/>
      <c r="G21" s="32"/>
      <c r="H21" s="32"/>
      <c r="I21" s="32"/>
      <c r="J21" s="350">
        <f>IF(J20&gt;0,0,1)</f>
        <v>1</v>
      </c>
      <c r="K21" s="349"/>
      <c r="L21" s="504" t="s">
        <v>542</v>
      </c>
      <c r="M21" s="504"/>
      <c r="N21" s="259">
        <f>N20</f>
        <v>600000</v>
      </c>
      <c r="O21" s="259">
        <f>O20*0.25</f>
        <v>33750</v>
      </c>
      <c r="P21" s="259">
        <f>P20*0.25</f>
        <v>7250</v>
      </c>
      <c r="Q21" s="259">
        <f>(N21+O21+P21)/100*Q19</f>
        <v>128200</v>
      </c>
      <c r="R21" s="259">
        <f>SUM(N21:Q21)*J21</f>
        <v>769200</v>
      </c>
      <c r="S21" s="259">
        <f>R21/K19</f>
        <v>213.66666666666666</v>
      </c>
      <c r="T21" s="260">
        <f>R21/(K19*M18)</f>
        <v>71.222222222222229</v>
      </c>
    </row>
    <row r="22" spans="1:20" x14ac:dyDescent="0.35">
      <c r="A22" s="32"/>
      <c r="B22" s="32"/>
      <c r="C22" s="32"/>
      <c r="D22" s="32"/>
      <c r="E22" s="32"/>
      <c r="F22" s="32"/>
      <c r="G22" s="32"/>
      <c r="H22" s="32"/>
      <c r="I22" s="32"/>
      <c r="J22" s="73"/>
      <c r="K22" s="349"/>
      <c r="L22" s="349"/>
      <c r="M22" s="349"/>
      <c r="N22" s="349"/>
      <c r="O22" s="349"/>
      <c r="P22" s="349"/>
      <c r="Q22" s="349"/>
      <c r="R22" s="352">
        <f>SUM(R20:R21)</f>
        <v>769200</v>
      </c>
      <c r="S22" s="352">
        <f t="shared" ref="S22:T22" si="0">SUM(S20:S21)</f>
        <v>213.66666666666666</v>
      </c>
      <c r="T22" s="353">
        <f t="shared" si="0"/>
        <v>71.222222222222229</v>
      </c>
    </row>
    <row r="23" spans="1:20" x14ac:dyDescent="0.35">
      <c r="A23" s="78" t="s">
        <v>301</v>
      </c>
      <c r="B23" s="322">
        <f>ROUNDUP(B18/50+B7/30+K10/40,0)</f>
        <v>50</v>
      </c>
      <c r="C23" s="79"/>
      <c r="D23" s="79"/>
      <c r="E23" s="79"/>
      <c r="F23" s="323"/>
      <c r="G23" s="32"/>
      <c r="H23" s="32"/>
      <c r="I23" s="32"/>
      <c r="J23" s="73"/>
      <c r="K23" s="349"/>
      <c r="L23" s="349" t="s">
        <v>139</v>
      </c>
      <c r="M23" s="349"/>
      <c r="N23" s="349"/>
      <c r="O23" s="349"/>
      <c r="P23" s="349"/>
      <c r="Q23" s="349"/>
      <c r="R23" s="349"/>
      <c r="S23" s="349"/>
      <c r="T23" s="74"/>
    </row>
    <row r="24" spans="1:20" x14ac:dyDescent="0.35">
      <c r="A24" s="32"/>
      <c r="B24" s="32"/>
      <c r="C24" s="32"/>
      <c r="D24" s="32"/>
      <c r="E24" s="32"/>
      <c r="F24" s="32"/>
      <c r="G24" s="32"/>
      <c r="H24" s="32"/>
      <c r="I24" s="32"/>
      <c r="J24" s="73" t="s">
        <v>506</v>
      </c>
      <c r="K24" s="309"/>
      <c r="L24" s="349" t="s">
        <v>63</v>
      </c>
      <c r="M24" s="349"/>
      <c r="N24" s="311">
        <f>K24*S22</f>
        <v>0</v>
      </c>
      <c r="O24" s="167">
        <f>G8</f>
        <v>1.5</v>
      </c>
      <c r="P24" s="311">
        <f>N24*O24</f>
        <v>0</v>
      </c>
      <c r="Q24" s="507" t="s">
        <v>543</v>
      </c>
      <c r="R24" s="507"/>
      <c r="S24" s="316">
        <v>15</v>
      </c>
      <c r="T24" s="354">
        <f>K19/S24</f>
        <v>240</v>
      </c>
    </row>
    <row r="25" spans="1:20" x14ac:dyDescent="0.35">
      <c r="A25" s="70" t="s">
        <v>352</v>
      </c>
      <c r="B25" s="324">
        <f>Übersicht!D62</f>
        <v>6</v>
      </c>
      <c r="C25" s="305" t="s">
        <v>60</v>
      </c>
      <c r="D25" s="305"/>
      <c r="E25" s="305"/>
      <c r="F25" s="72"/>
      <c r="G25" s="32"/>
      <c r="H25" s="32"/>
      <c r="I25" s="32"/>
      <c r="J25" s="73" t="s">
        <v>60</v>
      </c>
      <c r="K25" s="349"/>
      <c r="L25" s="313">
        <f>N25/100</f>
        <v>0</v>
      </c>
      <c r="M25" s="349"/>
      <c r="N25" s="311">
        <f>ROUNDUP(K24*15,-2)</f>
        <v>0</v>
      </c>
      <c r="O25" s="167">
        <f>'AP und Sort'!I42</f>
        <v>2</v>
      </c>
      <c r="P25" s="311">
        <f>N25*O25</f>
        <v>0</v>
      </c>
      <c r="Q25" s="349"/>
      <c r="R25" s="349" t="s">
        <v>301</v>
      </c>
      <c r="S25" s="316">
        <f>ROUNDUP(K24/T24,0)</f>
        <v>0</v>
      </c>
      <c r="T25" s="74"/>
    </row>
    <row r="26" spans="1:20" x14ac:dyDescent="0.35">
      <c r="A26" s="73"/>
      <c r="B26" s="315">
        <f>Übersicht!D63</f>
        <v>0</v>
      </c>
      <c r="C26" s="32" t="s">
        <v>342</v>
      </c>
      <c r="D26" s="32"/>
      <c r="E26" s="32"/>
      <c r="F26" s="74"/>
      <c r="G26" s="32"/>
      <c r="H26" s="32"/>
      <c r="I26" s="32"/>
      <c r="J26" s="73"/>
      <c r="K26" s="349"/>
      <c r="L26" s="192"/>
      <c r="M26" s="349"/>
      <c r="N26" s="326">
        <f>SUM(N24:N25)</f>
        <v>0</v>
      </c>
      <c r="O26" s="349"/>
      <c r="P26" s="348">
        <f>SUM(P24:P25)</f>
        <v>0</v>
      </c>
      <c r="Q26" s="349"/>
      <c r="R26" s="349"/>
      <c r="S26" s="349"/>
      <c r="T26" s="74"/>
    </row>
    <row r="27" spans="1:20" x14ac:dyDescent="0.35">
      <c r="A27" s="73" t="s">
        <v>357</v>
      </c>
      <c r="B27" s="313">
        <f>C14+C20+L14+L25</f>
        <v>750</v>
      </c>
      <c r="C27" s="32"/>
      <c r="D27" s="32"/>
      <c r="E27" s="32"/>
      <c r="F27" s="74"/>
      <c r="G27" s="32"/>
      <c r="H27" s="32"/>
      <c r="I27" s="32"/>
      <c r="J27" s="75"/>
      <c r="K27" s="76"/>
      <c r="L27" s="76"/>
      <c r="M27" s="76"/>
      <c r="N27" s="76"/>
      <c r="O27" s="76"/>
      <c r="P27" s="76"/>
      <c r="Q27" s="76"/>
      <c r="R27" s="76"/>
      <c r="S27" s="76"/>
      <c r="T27" s="77"/>
    </row>
    <row r="28" spans="1:20" x14ac:dyDescent="0.35">
      <c r="A28" s="75"/>
      <c r="B28" s="261"/>
      <c r="C28" s="76"/>
      <c r="D28" s="76"/>
      <c r="E28" s="76"/>
      <c r="F28" s="77"/>
      <c r="G28" s="32"/>
      <c r="H28" s="32"/>
      <c r="I28" s="32"/>
      <c r="K28" s="32"/>
      <c r="M28" s="32"/>
      <c r="O28" s="32"/>
      <c r="P28" s="32"/>
      <c r="Q28" s="32"/>
    </row>
    <row r="29" spans="1:20" x14ac:dyDescent="0.35">
      <c r="A29" s="32"/>
      <c r="B29" s="32"/>
      <c r="C29" s="32"/>
      <c r="D29" s="32"/>
      <c r="E29" s="32"/>
      <c r="F29" s="32"/>
      <c r="G29" s="32"/>
      <c r="H29" s="32"/>
      <c r="I29" s="32"/>
      <c r="K29" s="32"/>
      <c r="M29" s="32"/>
      <c r="N29" s="32"/>
      <c r="O29" s="32"/>
      <c r="P29" s="32"/>
      <c r="Q29" s="32"/>
    </row>
    <row r="30" spans="1:20" x14ac:dyDescent="0.35">
      <c r="A30" s="70"/>
      <c r="B30" s="325" t="s">
        <v>168</v>
      </c>
      <c r="C30" s="325" t="s">
        <v>12</v>
      </c>
      <c r="D30" s="305"/>
      <c r="E30" s="305"/>
      <c r="F30" s="72"/>
      <c r="G30" s="32"/>
      <c r="H30" s="32"/>
      <c r="I30" s="32"/>
      <c r="Q30" s="32"/>
    </row>
    <row r="31" spans="1:20" x14ac:dyDescent="0.35">
      <c r="A31" s="75" t="s">
        <v>514</v>
      </c>
      <c r="B31" s="262">
        <f>E7+C13+C19+N12+N26</f>
        <v>75000</v>
      </c>
      <c r="C31" s="326">
        <f>E9+E13+E18+P12+P26</f>
        <v>150000</v>
      </c>
      <c r="D31" s="76"/>
      <c r="E31" s="76"/>
      <c r="F31" s="77"/>
      <c r="G31" s="32"/>
      <c r="H31" s="32"/>
      <c r="I31" s="32"/>
      <c r="Q31" s="32"/>
    </row>
    <row r="32" spans="1:20" x14ac:dyDescent="0.35">
      <c r="A32" s="32"/>
      <c r="B32" s="32"/>
      <c r="C32" s="32"/>
      <c r="D32" s="32"/>
      <c r="E32" s="32"/>
      <c r="F32" s="32"/>
      <c r="G32" s="32"/>
      <c r="H32" s="32"/>
      <c r="I32" s="32"/>
      <c r="Q32" s="32"/>
    </row>
    <row r="33" spans="1:17" x14ac:dyDescent="0.35">
      <c r="A33" s="70" t="s">
        <v>39</v>
      </c>
      <c r="B33" s="329" t="s">
        <v>522</v>
      </c>
      <c r="C33" s="329" t="s">
        <v>523</v>
      </c>
      <c r="D33" s="329" t="s">
        <v>524</v>
      </c>
      <c r="E33" s="329" t="s">
        <v>525</v>
      </c>
      <c r="F33" s="72" t="s">
        <v>17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x14ac:dyDescent="0.35">
      <c r="A34" s="73" t="s">
        <v>516</v>
      </c>
      <c r="B34" s="32">
        <f>IF(B18&gt;0,1,0)</f>
        <v>1</v>
      </c>
      <c r="C34" s="32">
        <f>IF(B7&gt;0,2,0)</f>
        <v>0</v>
      </c>
      <c r="D34" s="32">
        <f>IF(K10&gt;0,2,0)</f>
        <v>0</v>
      </c>
      <c r="E34" s="32">
        <f>IF(K24&gt;0,3,0)</f>
        <v>0</v>
      </c>
      <c r="F34" s="74">
        <f>SUM(B34:E34)</f>
        <v>1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x14ac:dyDescent="0.35">
      <c r="A35" s="333" t="s">
        <v>520</v>
      </c>
      <c r="B35" s="332">
        <f>B18</f>
        <v>2500</v>
      </c>
      <c r="C35" s="332">
        <f>B7</f>
        <v>0</v>
      </c>
      <c r="D35" s="332">
        <f>K10</f>
        <v>0</v>
      </c>
      <c r="E35" s="332">
        <f>K24</f>
        <v>0</v>
      </c>
      <c r="F35" s="334">
        <f>SUM(B35:E35)</f>
        <v>2500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x14ac:dyDescent="0.35">
      <c r="A36" s="335" t="s">
        <v>526</v>
      </c>
      <c r="B36" s="336">
        <f>B34*B35</f>
        <v>2500</v>
      </c>
      <c r="C36" s="336">
        <f>C34*C35</f>
        <v>0</v>
      </c>
      <c r="D36" s="336">
        <f>D34*D35</f>
        <v>0</v>
      </c>
      <c r="E36" s="336">
        <f>E34*E35</f>
        <v>0</v>
      </c>
      <c r="F36" s="337">
        <f>SUM(B36:E36)</f>
        <v>2500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1:17" x14ac:dyDescent="0.3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</sheetData>
  <mergeCells count="6">
    <mergeCell ref="L21:M21"/>
    <mergeCell ref="S18:S19"/>
    <mergeCell ref="T18:T19"/>
    <mergeCell ref="Q24:R24"/>
    <mergeCell ref="N4:O4"/>
    <mergeCell ref="N5:O5"/>
  </mergeCells>
  <phoneticPr fontId="0" type="noConversion"/>
  <pageMargins left="0.7" right="0.7" top="0.78740157499999996" bottom="0.78740157499999996" header="0.3" footer="0.3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6"/>
  <sheetViews>
    <sheetView zoomScale="85" zoomScaleNormal="85" workbookViewId="0">
      <selection activeCell="I7" sqref="I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3.7265625" bestFit="1" customWidth="1"/>
    <col min="21" max="21" width="6.453125" customWidth="1"/>
    <col min="22" max="23" width="4.26953125" bestFit="1" customWidth="1"/>
    <col min="24" max="24" width="5.2695312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 t="s">
        <v>563</v>
      </c>
      <c r="H1" s="481"/>
      <c r="I1" s="481"/>
      <c r="J1" s="481"/>
      <c r="K1" s="481"/>
      <c r="L1" s="482"/>
      <c r="M1" s="104" t="s">
        <v>33</v>
      </c>
      <c r="N1" s="105">
        <v>2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399" t="s">
        <v>565</v>
      </c>
      <c r="D3" s="41">
        <v>2</v>
      </c>
      <c r="E3" s="398">
        <v>30</v>
      </c>
      <c r="F3" s="398"/>
      <c r="G3" s="398"/>
      <c r="H3" s="398">
        <v>4</v>
      </c>
      <c r="I3" s="398">
        <v>4</v>
      </c>
      <c r="J3" s="398">
        <v>4</v>
      </c>
      <c r="K3" s="45">
        <f>D3*(Tabellen!C3+E3*Tabellen!D3+F3*E3*Tabellen!E3+G3*Tabellen!F3+H3*Tabellen!H3+I3*Tabellen!I3+J3*Tabellen!R3+F3*Tabellen!G3)</f>
        <v>21051.599999999999</v>
      </c>
      <c r="L3" s="131">
        <f>D3*(Tabellen!C30+E3*Tabellen!D30+F3*E3*Tabellen!E30+G3*Tabellen!F30+H3*Tabellen!H30+I3*Tabellen!I30+J3*Tabellen!R30+F3*Tabellen!G30)</f>
        <v>160</v>
      </c>
      <c r="M3" s="132">
        <f>L3*Tabellen!V3</f>
        <v>4960</v>
      </c>
      <c r="N3" s="132">
        <f t="shared" ref="N3:N14" si="0">K3+M3</f>
        <v>26011.599999999999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8</v>
      </c>
      <c r="W3">
        <f>D3*I3</f>
        <v>8</v>
      </c>
      <c r="X3">
        <f>D3*J3</f>
        <v>8</v>
      </c>
    </row>
    <row r="4" spans="1:24" x14ac:dyDescent="0.35">
      <c r="A4" s="58"/>
      <c r="B4" s="59"/>
      <c r="C4" s="370" t="s">
        <v>566</v>
      </c>
      <c r="D4" s="368">
        <v>3</v>
      </c>
      <c r="E4" s="369">
        <v>4</v>
      </c>
      <c r="F4" s="369"/>
      <c r="G4" s="369"/>
      <c r="H4" s="369"/>
      <c r="I4" s="369"/>
      <c r="J4" s="369"/>
      <c r="K4" s="45">
        <f>D4*(Tabellen!C4+E4*Tabellen!D4+F4*E4*Tabellen!E4+G4*Tabellen!F4+H4*Tabellen!H4+I4*Tabellen!I4+J4*Tabellen!R4+F4*Tabellen!G4)</f>
        <v>9741</v>
      </c>
      <c r="L4" s="131">
        <f>D4*(Tabellen!C31+E4*Tabellen!D31+F4*E4*Tabellen!E31+G4*Tabellen!F31+H4*Tabellen!H31+I4*Tabellen!I31+J4*Tabellen!R31+F4*Tabellen!G31)</f>
        <v>72</v>
      </c>
      <c r="M4" s="132">
        <f>L4*Tabellen!V4</f>
        <v>2232</v>
      </c>
      <c r="N4" s="132">
        <f t="shared" si="0"/>
        <v>11973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370" t="s">
        <v>567</v>
      </c>
      <c r="D5" s="368">
        <v>6</v>
      </c>
      <c r="E5" s="369">
        <v>10</v>
      </c>
      <c r="F5" s="369">
        <v>1</v>
      </c>
      <c r="G5" s="369">
        <v>2</v>
      </c>
      <c r="H5" s="369"/>
      <c r="I5" s="369">
        <v>2</v>
      </c>
      <c r="J5" s="369">
        <v>1</v>
      </c>
      <c r="K5" s="45">
        <f>D5*(Tabellen!C5+E5*Tabellen!D5+F5*E5*Tabellen!E5+G5*Tabellen!F5+H5*Tabellen!H5+I5*Tabellen!I5+J5*Tabellen!R5+F5*Tabellen!G5)</f>
        <v>36501.600000000006</v>
      </c>
      <c r="L5" s="131">
        <f>D5*(Tabellen!C32+E5*Tabellen!D32+F5*E5*Tabellen!E32+G5*Tabellen!F32+H5*Tabellen!H32+I5*Tabellen!I32+J5*Tabellen!R32+F5*Tabellen!G32)</f>
        <v>294</v>
      </c>
      <c r="M5" s="132">
        <f>L5*Tabellen!V5</f>
        <v>9114</v>
      </c>
      <c r="N5" s="132">
        <f t="shared" si="0"/>
        <v>45615.600000000006</v>
      </c>
      <c r="P5" s="73"/>
      <c r="Q5" s="133"/>
      <c r="R5" s="32"/>
      <c r="S5" s="74"/>
      <c r="T5">
        <f t="shared" si="1"/>
        <v>6</v>
      </c>
      <c r="U5">
        <f t="shared" si="2"/>
        <v>12</v>
      </c>
      <c r="V5">
        <f t="shared" si="3"/>
        <v>0</v>
      </c>
      <c r="W5">
        <f t="shared" si="4"/>
        <v>12</v>
      </c>
      <c r="X5">
        <f t="shared" si="5"/>
        <v>6</v>
      </c>
    </row>
    <row r="6" spans="1:24" x14ac:dyDescent="0.35">
      <c r="A6" s="58"/>
      <c r="B6" s="59"/>
      <c r="C6" s="370" t="s">
        <v>569</v>
      </c>
      <c r="D6" s="368">
        <v>6</v>
      </c>
      <c r="E6" s="369">
        <v>10</v>
      </c>
      <c r="F6" s="369"/>
      <c r="G6" s="369"/>
      <c r="H6" s="369">
        <v>1</v>
      </c>
      <c r="I6" s="369">
        <v>2</v>
      </c>
      <c r="J6" s="369">
        <v>2</v>
      </c>
      <c r="K6" s="45">
        <f>D6*(Tabellen!C6+E6*Tabellen!D6+F6*E6*Tabellen!E6+G6*Tabellen!F6+H6*Tabellen!H6+I6*Tabellen!I6+J6*Tabellen!R6+F6*Tabellen!G6)</f>
        <v>36505.199999999997</v>
      </c>
      <c r="L6" s="131">
        <f>D6*(Tabellen!C33+E6*Tabellen!D33+F6*E6*Tabellen!E33+G6*Tabellen!F33+H6*Tabellen!H33+I6*Tabellen!I33+J6*Tabellen!R33+F6*Tabellen!G33)</f>
        <v>240</v>
      </c>
      <c r="M6" s="132">
        <f>L6*Tabellen!V6</f>
        <v>7440</v>
      </c>
      <c r="N6" s="132">
        <f t="shared" si="0"/>
        <v>43945.2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6</v>
      </c>
      <c r="W6">
        <f t="shared" si="4"/>
        <v>12</v>
      </c>
      <c r="X6">
        <f t="shared" si="5"/>
        <v>12</v>
      </c>
    </row>
    <row r="7" spans="1:24" x14ac:dyDescent="0.35">
      <c r="A7" s="58"/>
      <c r="B7" s="59"/>
      <c r="C7" s="370" t="s">
        <v>570</v>
      </c>
      <c r="D7" s="368">
        <v>2</v>
      </c>
      <c r="E7" s="369">
        <v>33.5</v>
      </c>
      <c r="F7" s="369"/>
      <c r="G7" s="369"/>
      <c r="H7" s="369">
        <v>5</v>
      </c>
      <c r="I7" s="369">
        <v>3</v>
      </c>
      <c r="J7" s="369"/>
      <c r="K7" s="45">
        <f>D7*(Tabellen!C7+E7*Tabellen!D7+F7*E7*Tabellen!E7+G7*Tabellen!F7+H7*Tabellen!H7+I7*Tabellen!I7+J7*Tabellen!R7+F7*Tabellen!G7)</f>
        <v>15581</v>
      </c>
      <c r="L7" s="131">
        <f>D7*(Tabellen!C34+E7*Tabellen!D34+F7*E7*Tabellen!E34+G7*Tabellen!F34+H7*Tabellen!H34+I7*Tabellen!I34+J7*Tabellen!R34+F7*Tabellen!G34)</f>
        <v>162</v>
      </c>
      <c r="M7" s="132">
        <f>L7*Tabellen!V7</f>
        <v>5022</v>
      </c>
      <c r="N7" s="132">
        <f t="shared" si="0"/>
        <v>20603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10</v>
      </c>
      <c r="W7">
        <f t="shared" si="4"/>
        <v>6</v>
      </c>
      <c r="X7">
        <f t="shared" si="5"/>
        <v>0</v>
      </c>
    </row>
    <row r="8" spans="1:24" x14ac:dyDescent="0.35">
      <c r="A8" s="58"/>
      <c r="B8" s="59"/>
      <c r="C8" s="399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399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399"/>
      <c r="D10" s="400"/>
      <c r="E10" s="396"/>
      <c r="F10" s="396"/>
      <c r="G10" s="396"/>
      <c r="H10" s="396"/>
      <c r="I10" s="396"/>
      <c r="J10" s="396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>D10*F10</f>
        <v>0</v>
      </c>
      <c r="U10">
        <f>D10*G10</f>
        <v>0</v>
      </c>
      <c r="V10">
        <f>D10*H10</f>
        <v>0</v>
      </c>
      <c r="W10">
        <f>D10*I10</f>
        <v>0</v>
      </c>
      <c r="X10">
        <f>D10*J10</f>
        <v>0</v>
      </c>
    </row>
    <row r="11" spans="1:24" x14ac:dyDescent="0.35">
      <c r="A11" s="58"/>
      <c r="B11" s="59"/>
      <c r="C11" s="399"/>
      <c r="D11" s="397"/>
      <c r="E11" s="398"/>
      <c r="F11" s="398"/>
      <c r="G11" s="398"/>
      <c r="H11" s="398"/>
      <c r="I11" s="398"/>
      <c r="J11" s="398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>D11*F11</f>
        <v>0</v>
      </c>
      <c r="U11">
        <f>D11*G11</f>
        <v>0</v>
      </c>
      <c r="V11">
        <f>D11*H11</f>
        <v>0</v>
      </c>
      <c r="W11">
        <f>D11*I11</f>
        <v>0</v>
      </c>
      <c r="X11">
        <f>D11*J11</f>
        <v>0</v>
      </c>
    </row>
    <row r="12" spans="1:24" x14ac:dyDescent="0.35">
      <c r="A12" s="58"/>
      <c r="B12" s="59"/>
      <c r="C12" s="399"/>
      <c r="D12" s="397"/>
      <c r="E12" s="398"/>
      <c r="F12" s="398"/>
      <c r="G12" s="398"/>
      <c r="H12" s="398"/>
      <c r="I12" s="398"/>
      <c r="J12" s="398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>D12*F12</f>
        <v>0</v>
      </c>
      <c r="U12">
        <f>D12*G12</f>
        <v>0</v>
      </c>
      <c r="V12">
        <f>D12*H12</f>
        <v>0</v>
      </c>
      <c r="W12">
        <f>D12*I12</f>
        <v>0</v>
      </c>
      <c r="X12">
        <f>D12*J12</f>
        <v>0</v>
      </c>
    </row>
    <row r="13" spans="1:24" x14ac:dyDescent="0.35">
      <c r="A13" s="58"/>
      <c r="B13" s="59"/>
      <c r="C13" s="399"/>
      <c r="D13" s="397"/>
      <c r="E13" s="398"/>
      <c r="F13" s="398"/>
      <c r="G13" s="398"/>
      <c r="H13" s="398"/>
      <c r="I13" s="398"/>
      <c r="J13" s="398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D14">
        <v>12</v>
      </c>
      <c r="E14" s="78"/>
      <c r="F14" s="49"/>
      <c r="G14" s="49"/>
      <c r="H14" s="49"/>
      <c r="I14" s="49"/>
      <c r="J14" s="50"/>
      <c r="K14" s="45">
        <f>D14*Tabellen!B3</f>
        <v>21756</v>
      </c>
      <c r="L14" s="131">
        <f>D14*Tabellen!B30*1.5</f>
        <v>180</v>
      </c>
      <c r="M14" s="132">
        <f>L14*Tabellen!V29</f>
        <v>0</v>
      </c>
      <c r="N14" s="132">
        <f t="shared" si="0"/>
        <v>21756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31</v>
      </c>
      <c r="E15" s="42">
        <f>2*(D3*E3+D4*E4+D5*E5+D6*E6+D7*E7+D8*E8+D9*E9+D10*E10+D11*E11+D12*E12+D13*E13)</f>
        <v>518</v>
      </c>
      <c r="F15" s="42">
        <f>SUM(T3:T13)</f>
        <v>6</v>
      </c>
      <c r="G15" s="42">
        <f>SUM(U3:U13)</f>
        <v>12</v>
      </c>
      <c r="H15" s="42">
        <f>SUM(V3:V13)</f>
        <v>24</v>
      </c>
      <c r="I15" s="42">
        <f>SUM(W3:W13)</f>
        <v>38</v>
      </c>
      <c r="J15" s="37">
        <f>SUM(X3:X13)</f>
        <v>26</v>
      </c>
      <c r="K15" s="32"/>
      <c r="L15" s="133"/>
      <c r="M15" s="134"/>
      <c r="N15" s="134"/>
      <c r="P15" s="111">
        <f>SUM(K3:K14)</f>
        <v>141136.40000000002</v>
      </c>
      <c r="Q15" s="131">
        <f>SUM(L3:L14)</f>
        <v>1108</v>
      </c>
      <c r="R15" s="132">
        <f>SUM(M3:M14)</f>
        <v>28768</v>
      </c>
      <c r="S15" s="132">
        <f>SUM(N3:N14)</f>
        <v>169904.40000000002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372" t="s">
        <v>568</v>
      </c>
      <c r="D17" s="371">
        <v>6</v>
      </c>
      <c r="E17" s="373">
        <v>10</v>
      </c>
      <c r="F17" s="462"/>
      <c r="G17" s="463"/>
      <c r="H17" s="464"/>
      <c r="I17" s="50">
        <v>2</v>
      </c>
      <c r="J17" s="37"/>
      <c r="K17" s="45">
        <f>D17*(Tabellen!J3+E17*Tabellen!L3+I17*Tabellen!M3+J17*Tabellen!R3)</f>
        <v>6166.2000000000007</v>
      </c>
      <c r="L17" s="131">
        <f>D17*(Tabellen!J30+E17*Tabellen!L30+I17*Tabellen!M30+J17*Tabellen!R30)</f>
        <v>45.5</v>
      </c>
      <c r="M17" s="132">
        <f>L17*Tabellen!V3</f>
        <v>1410.5</v>
      </c>
      <c r="N17" s="132">
        <f t="shared" ref="N17:N27" si="6">K17+M17</f>
        <v>7576.7000000000007</v>
      </c>
      <c r="O17" s="32"/>
      <c r="P17" s="73"/>
      <c r="Q17" s="133"/>
      <c r="R17" s="32"/>
      <c r="S17" s="74"/>
      <c r="W17">
        <f>D17*I17</f>
        <v>12</v>
      </c>
      <c r="X17">
        <f>D17*J17</f>
        <v>0</v>
      </c>
    </row>
    <row r="18" spans="1:24" x14ac:dyDescent="0.35">
      <c r="A18" s="58"/>
      <c r="B18" s="59"/>
      <c r="C18" s="401" t="s">
        <v>563</v>
      </c>
      <c r="D18" s="44">
        <v>72</v>
      </c>
      <c r="E18" s="65">
        <v>21</v>
      </c>
      <c r="F18" s="465"/>
      <c r="G18" s="466"/>
      <c r="H18" s="467"/>
      <c r="I18" s="50">
        <v>2</v>
      </c>
      <c r="J18" s="37"/>
      <c r="K18" s="45">
        <f>D18*(Tabellen!J4+E18*Tabellen!L4+I18*Tabellen!M4+J18*Tabellen!R4)</f>
        <v>91418.400000000009</v>
      </c>
      <c r="L18" s="131">
        <f>D18*(Tabellen!J31+E18*Tabellen!L31+I18*Tabellen!M31+J18*Tabellen!R31)</f>
        <v>810</v>
      </c>
      <c r="M18" s="132">
        <f>L18*Tabellen!V4</f>
        <v>25110</v>
      </c>
      <c r="N18" s="132">
        <f t="shared" si="6"/>
        <v>116528.40000000001</v>
      </c>
      <c r="O18" s="32"/>
      <c r="P18" s="73"/>
      <c r="Q18" s="133"/>
      <c r="R18" s="32"/>
      <c r="S18" s="74"/>
      <c r="W18">
        <f t="shared" ref="W18:W26" si="7">D18*I18</f>
        <v>144</v>
      </c>
      <c r="X18">
        <f t="shared" ref="X18:X26" si="8">D18*J18</f>
        <v>0</v>
      </c>
    </row>
    <row r="19" spans="1:24" x14ac:dyDescent="0.35">
      <c r="A19" s="58"/>
      <c r="B19" s="59"/>
      <c r="C19" s="401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401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401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78</v>
      </c>
      <c r="E28" s="65">
        <f>D17*E17+D18*E18+D19*E19+D20*E20+D21*E21+D22*E22+D23*E23+D24*E24+D25*E25+D27*E27</f>
        <v>1572</v>
      </c>
      <c r="F28" s="468"/>
      <c r="G28" s="469"/>
      <c r="H28" s="470"/>
      <c r="I28" s="50">
        <f>SUM(W17:W26)</f>
        <v>156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97584.6</v>
      </c>
      <c r="Q28" s="131">
        <f>SUM(L17:L27)</f>
        <v>855.5</v>
      </c>
      <c r="R28" s="132">
        <f>SUM(M17:M27)</f>
        <v>26520.5</v>
      </c>
      <c r="S28" s="132">
        <f>SUM(N17:N27)</f>
        <v>124105.1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>
        <v>6</v>
      </c>
      <c r="E30" s="65"/>
      <c r="F30" s="49"/>
      <c r="G30" s="49"/>
      <c r="H30" s="49"/>
      <c r="I30" s="49"/>
      <c r="J30" s="49"/>
      <c r="K30" s="45">
        <f>D30*Tabellen!N3</f>
        <v>16914</v>
      </c>
      <c r="L30" s="131">
        <f>D30*Tabellen!N30</f>
        <v>84</v>
      </c>
      <c r="M30" s="132">
        <f>L30*Tabellen!V3</f>
        <v>2604</v>
      </c>
      <c r="N30" s="132">
        <f>K30+M30</f>
        <v>19518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7"/>
      <c r="E32" s="37"/>
      <c r="F32" s="90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 t="str">
        <f>G1</f>
        <v>Puffer</v>
      </c>
      <c r="D41" s="48"/>
      <c r="E41" s="49"/>
      <c r="F41" s="49"/>
      <c r="G41" s="49"/>
      <c r="H41" s="49"/>
      <c r="I41" s="50"/>
      <c r="J41" s="50"/>
      <c r="K41" s="45">
        <f>SUM(K3:K39)</f>
        <v>255635.00000000006</v>
      </c>
      <c r="L41" s="131">
        <f>SUM(L3:L40)</f>
        <v>2047.5</v>
      </c>
      <c r="M41" s="132">
        <f>L41*O3</f>
        <v>63472.5</v>
      </c>
      <c r="N41" s="132">
        <f>K41+M41</f>
        <v>319107.50000000006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511270.00000000012</v>
      </c>
      <c r="L42" s="131"/>
      <c r="M42" s="132">
        <f>I42*M41</f>
        <v>126945</v>
      </c>
      <c r="N42" s="132">
        <f>I42*N41</f>
        <v>638215.00000000012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639000</v>
      </c>
      <c r="O43" s="32"/>
      <c r="Q43" s="25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A17:B17"/>
    <mergeCell ref="A41:B41"/>
    <mergeCell ref="B1:C1"/>
    <mergeCell ref="E1:F1"/>
    <mergeCell ref="F17:H28"/>
    <mergeCell ref="E34:J34"/>
    <mergeCell ref="E36:J36"/>
    <mergeCell ref="E35:J35"/>
    <mergeCell ref="G1:L1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35"/>
  <sheetViews>
    <sheetView zoomScaleNormal="100" workbookViewId="0">
      <selection activeCell="C35" sqref="C35"/>
    </sheetView>
  </sheetViews>
  <sheetFormatPr baseColWidth="10" defaultRowHeight="14.5" x14ac:dyDescent="0.35"/>
  <cols>
    <col min="1" max="1" width="14" customWidth="1"/>
    <col min="2" max="2" width="50.54296875" customWidth="1"/>
    <col min="3" max="3" width="15.7265625" customWidth="1"/>
    <col min="4" max="5" width="12.26953125" customWidth="1"/>
    <col min="6" max="6" width="11.81640625" customWidth="1"/>
    <col min="7" max="7" width="13.26953125" customWidth="1"/>
    <col min="8" max="8" width="10.54296875" bestFit="1" customWidth="1"/>
    <col min="9" max="9" width="9.81640625" customWidth="1"/>
    <col min="10" max="10" width="13.54296875" customWidth="1"/>
    <col min="13" max="13" width="13.81640625" customWidth="1"/>
  </cols>
  <sheetData>
    <row r="1" spans="1:11" ht="24.75" customHeight="1" thickBot="1" x14ac:dyDescent="0.4">
      <c r="A1" s="101" t="s">
        <v>74</v>
      </c>
      <c r="B1" s="102" t="str">
        <f>Übersicht!C3</f>
        <v>Faurecia Entwurf 1</v>
      </c>
      <c r="C1" s="101" t="s">
        <v>75</v>
      </c>
      <c r="D1" s="103">
        <f>Übersicht!D3</f>
        <v>44322</v>
      </c>
      <c r="E1" s="126"/>
      <c r="F1" s="104" t="s">
        <v>33</v>
      </c>
      <c r="G1" s="55"/>
      <c r="H1" s="105" t="str">
        <f>Übersicht!D2</f>
        <v>Datum</v>
      </c>
    </row>
    <row r="2" spans="1:11" x14ac:dyDescent="0.35">
      <c r="A2" s="106" t="s">
        <v>76</v>
      </c>
      <c r="B2" s="106" t="s">
        <v>77</v>
      </c>
      <c r="C2" s="108" t="s">
        <v>3</v>
      </c>
      <c r="D2" s="106" t="s">
        <v>78</v>
      </c>
      <c r="E2" s="108" t="s">
        <v>4</v>
      </c>
      <c r="F2" s="106" t="s">
        <v>79</v>
      </c>
      <c r="G2" s="108" t="s">
        <v>5</v>
      </c>
      <c r="H2" s="108" t="s">
        <v>105</v>
      </c>
      <c r="J2" s="108"/>
      <c r="K2" s="108"/>
    </row>
    <row r="3" spans="1:11" x14ac:dyDescent="0.35">
      <c r="A3" s="110" t="s">
        <v>387</v>
      </c>
      <c r="B3" s="108" t="s">
        <v>388</v>
      </c>
      <c r="C3" s="125">
        <v>1580</v>
      </c>
      <c r="D3" s="110">
        <v>360</v>
      </c>
      <c r="E3" s="125">
        <v>233</v>
      </c>
      <c r="F3" s="110">
        <v>240</v>
      </c>
      <c r="G3" s="128">
        <f>C3+E3</f>
        <v>1813</v>
      </c>
      <c r="H3" s="127">
        <f>(D3+F3)/60</f>
        <v>10</v>
      </c>
      <c r="J3" s="125" t="s">
        <v>391</v>
      </c>
    </row>
    <row r="4" spans="1:11" x14ac:dyDescent="0.35">
      <c r="A4" s="106" t="s">
        <v>80</v>
      </c>
      <c r="B4" s="153" t="s">
        <v>81</v>
      </c>
      <c r="C4" s="154">
        <v>1750.874</v>
      </c>
      <c r="D4" s="155">
        <v>420</v>
      </c>
      <c r="E4" s="154">
        <v>232.46870000000001</v>
      </c>
      <c r="F4" s="155">
        <v>60</v>
      </c>
      <c r="G4" s="156">
        <f t="shared" ref="G4:G29" si="0">C4+E4</f>
        <v>1983.3427000000001</v>
      </c>
      <c r="H4" s="157">
        <f t="shared" ref="H4:H29" si="1">(D4+F4)/60</f>
        <v>8</v>
      </c>
    </row>
    <row r="5" spans="1:11" x14ac:dyDescent="0.35">
      <c r="A5" s="110" t="s">
        <v>389</v>
      </c>
      <c r="B5" s="108" t="s">
        <v>390</v>
      </c>
      <c r="C5" s="125">
        <v>1110</v>
      </c>
      <c r="D5" s="110">
        <v>360</v>
      </c>
      <c r="E5" s="125">
        <v>24</v>
      </c>
      <c r="F5" s="110">
        <v>120</v>
      </c>
      <c r="G5" s="128">
        <f t="shared" si="0"/>
        <v>1134</v>
      </c>
      <c r="H5" s="127">
        <f t="shared" si="1"/>
        <v>8</v>
      </c>
      <c r="J5" s="125" t="s">
        <v>391</v>
      </c>
    </row>
    <row r="6" spans="1:11" x14ac:dyDescent="0.35">
      <c r="A6" s="106" t="s">
        <v>82</v>
      </c>
      <c r="B6" s="153" t="s">
        <v>83</v>
      </c>
      <c r="C6" s="154">
        <v>1970.0721000000001</v>
      </c>
      <c r="D6" s="155">
        <v>420</v>
      </c>
      <c r="E6" s="154">
        <v>58.2654</v>
      </c>
      <c r="F6" s="155">
        <v>0</v>
      </c>
      <c r="G6" s="156">
        <f t="shared" si="0"/>
        <v>2028.3375000000001</v>
      </c>
      <c r="H6" s="157">
        <f t="shared" si="1"/>
        <v>7</v>
      </c>
    </row>
    <row r="7" spans="1:11" x14ac:dyDescent="0.35">
      <c r="A7" s="106" t="s">
        <v>84</v>
      </c>
      <c r="B7" s="153" t="s">
        <v>85</v>
      </c>
      <c r="C7" s="154">
        <v>1845.3688</v>
      </c>
      <c r="D7" s="155">
        <v>420</v>
      </c>
      <c r="E7" s="154">
        <v>43.161200000000001</v>
      </c>
      <c r="F7" s="155">
        <v>0</v>
      </c>
      <c r="G7" s="156">
        <f t="shared" si="0"/>
        <v>1888.53</v>
      </c>
      <c r="H7" s="157">
        <f t="shared" si="1"/>
        <v>7</v>
      </c>
    </row>
    <row r="8" spans="1:11" x14ac:dyDescent="0.35">
      <c r="A8" s="110" t="s">
        <v>86</v>
      </c>
      <c r="B8" s="122" t="s">
        <v>392</v>
      </c>
      <c r="C8" s="125">
        <v>75</v>
      </c>
      <c r="D8" s="110">
        <v>90</v>
      </c>
      <c r="E8" s="110"/>
      <c r="F8" s="110">
        <v>0</v>
      </c>
      <c r="G8" s="128">
        <f t="shared" si="0"/>
        <v>75</v>
      </c>
      <c r="H8" s="127">
        <f t="shared" si="1"/>
        <v>1.5</v>
      </c>
    </row>
    <row r="9" spans="1:11" x14ac:dyDescent="0.35">
      <c r="A9" s="106" t="s">
        <v>87</v>
      </c>
      <c r="B9" s="153" t="s">
        <v>88</v>
      </c>
      <c r="C9" s="154">
        <v>40.8934</v>
      </c>
      <c r="D9" s="155">
        <v>10</v>
      </c>
      <c r="E9" s="155"/>
      <c r="F9" s="155">
        <v>0</v>
      </c>
      <c r="G9" s="156">
        <f t="shared" si="0"/>
        <v>40.8934</v>
      </c>
      <c r="H9" s="157">
        <f t="shared" si="1"/>
        <v>0.16666666666666666</v>
      </c>
    </row>
    <row r="10" spans="1:11" x14ac:dyDescent="0.35">
      <c r="A10" s="110" t="s">
        <v>89</v>
      </c>
      <c r="B10" s="122" t="s">
        <v>140</v>
      </c>
      <c r="C10" s="125">
        <v>3</v>
      </c>
      <c r="D10" s="110">
        <v>30</v>
      </c>
      <c r="E10" s="125"/>
      <c r="F10" s="110">
        <v>0</v>
      </c>
      <c r="G10" s="128">
        <f t="shared" si="0"/>
        <v>3</v>
      </c>
      <c r="H10" s="127">
        <f t="shared" si="1"/>
        <v>0.5</v>
      </c>
    </row>
    <row r="11" spans="1:11" x14ac:dyDescent="0.35">
      <c r="A11" s="123" t="s">
        <v>90</v>
      </c>
      <c r="B11" s="122" t="s">
        <v>395</v>
      </c>
      <c r="C11" s="125">
        <v>202</v>
      </c>
      <c r="D11" s="110">
        <v>60</v>
      </c>
      <c r="E11" s="110">
        <v>76.3</v>
      </c>
      <c r="F11" s="110">
        <v>45</v>
      </c>
      <c r="G11" s="128">
        <f t="shared" si="0"/>
        <v>278.3</v>
      </c>
      <c r="H11" s="127">
        <f t="shared" si="1"/>
        <v>1.75</v>
      </c>
      <c r="J11" t="s">
        <v>393</v>
      </c>
      <c r="K11" t="s">
        <v>394</v>
      </c>
    </row>
    <row r="12" spans="1:11" x14ac:dyDescent="0.35">
      <c r="A12" s="124" t="s">
        <v>396</v>
      </c>
      <c r="B12" s="122" t="s">
        <v>397</v>
      </c>
      <c r="C12" s="110">
        <v>225</v>
      </c>
      <c r="D12" s="110">
        <v>60</v>
      </c>
      <c r="E12" s="110">
        <v>52.2</v>
      </c>
      <c r="F12" s="110">
        <v>30</v>
      </c>
      <c r="G12" s="128">
        <f t="shared" si="0"/>
        <v>277.2</v>
      </c>
      <c r="H12" s="127">
        <f t="shared" si="1"/>
        <v>1.5</v>
      </c>
    </row>
    <row r="13" spans="1:11" x14ac:dyDescent="0.35">
      <c r="A13" s="110" t="s">
        <v>91</v>
      </c>
      <c r="B13" s="122" t="s">
        <v>398</v>
      </c>
      <c r="C13" s="125">
        <v>22</v>
      </c>
      <c r="D13" s="110">
        <v>20</v>
      </c>
      <c r="E13" s="110"/>
      <c r="F13" s="110">
        <v>0</v>
      </c>
      <c r="G13" s="128">
        <f t="shared" si="0"/>
        <v>22</v>
      </c>
      <c r="H13" s="127">
        <f t="shared" si="1"/>
        <v>0.33333333333333331</v>
      </c>
    </row>
    <row r="14" spans="1:11" x14ac:dyDescent="0.35">
      <c r="A14" s="110" t="s">
        <v>92</v>
      </c>
      <c r="B14" s="122" t="s">
        <v>399</v>
      </c>
      <c r="C14" s="125">
        <v>206</v>
      </c>
      <c r="D14" s="110">
        <v>45</v>
      </c>
      <c r="E14" s="125">
        <v>109</v>
      </c>
      <c r="F14" s="110">
        <v>60</v>
      </c>
      <c r="G14" s="128">
        <f t="shared" si="0"/>
        <v>315</v>
      </c>
      <c r="H14" s="127">
        <f t="shared" si="1"/>
        <v>1.75</v>
      </c>
    </row>
    <row r="15" spans="1:11" x14ac:dyDescent="0.35">
      <c r="A15" s="110" t="s">
        <v>93</v>
      </c>
      <c r="B15" s="122" t="s">
        <v>400</v>
      </c>
      <c r="C15" s="125">
        <v>217</v>
      </c>
      <c r="D15" s="110">
        <v>45</v>
      </c>
      <c r="E15" s="125">
        <v>53.1</v>
      </c>
      <c r="F15" s="110">
        <v>30</v>
      </c>
      <c r="G15" s="128">
        <f t="shared" si="0"/>
        <v>270.10000000000002</v>
      </c>
      <c r="H15" s="127">
        <f t="shared" si="1"/>
        <v>1.25</v>
      </c>
    </row>
    <row r="16" spans="1:11" x14ac:dyDescent="0.35">
      <c r="A16" s="125" t="s">
        <v>376</v>
      </c>
      <c r="B16" s="125" t="s">
        <v>0</v>
      </c>
      <c r="C16" s="125"/>
      <c r="D16" s="125"/>
      <c r="E16" s="125">
        <v>740</v>
      </c>
      <c r="F16" s="110">
        <v>60</v>
      </c>
      <c r="G16" s="128">
        <f t="shared" si="0"/>
        <v>740</v>
      </c>
      <c r="H16" s="127">
        <f t="shared" si="1"/>
        <v>1</v>
      </c>
    </row>
    <row r="17" spans="1:8" x14ac:dyDescent="0.35">
      <c r="A17" s="125" t="s">
        <v>377</v>
      </c>
      <c r="B17" s="125" t="s">
        <v>1</v>
      </c>
      <c r="C17" s="125"/>
      <c r="D17" s="125"/>
      <c r="E17" s="125">
        <v>1860</v>
      </c>
      <c r="F17" s="110">
        <v>60</v>
      </c>
      <c r="G17" s="128">
        <f t="shared" si="0"/>
        <v>1860</v>
      </c>
      <c r="H17" s="127">
        <f t="shared" si="1"/>
        <v>1</v>
      </c>
    </row>
    <row r="18" spans="1:8" x14ac:dyDescent="0.35">
      <c r="A18" s="125" t="s">
        <v>378</v>
      </c>
      <c r="B18" s="125" t="s">
        <v>2</v>
      </c>
      <c r="C18" s="125"/>
      <c r="D18" s="125"/>
      <c r="E18" s="125">
        <v>7470</v>
      </c>
      <c r="F18" s="110">
        <v>120</v>
      </c>
      <c r="G18" s="128">
        <f t="shared" si="0"/>
        <v>7470</v>
      </c>
      <c r="H18" s="127">
        <f t="shared" si="1"/>
        <v>2</v>
      </c>
    </row>
    <row r="19" spans="1:8" x14ac:dyDescent="0.35">
      <c r="A19" s="110" t="s">
        <v>94</v>
      </c>
      <c r="B19" s="122" t="s">
        <v>401</v>
      </c>
      <c r="C19" s="125">
        <v>152</v>
      </c>
      <c r="D19" s="110">
        <v>45</v>
      </c>
      <c r="E19" s="125">
        <v>47.5</v>
      </c>
      <c r="F19" s="110">
        <v>30</v>
      </c>
      <c r="G19" s="128">
        <f t="shared" si="0"/>
        <v>199.5</v>
      </c>
      <c r="H19" s="127">
        <f t="shared" si="1"/>
        <v>1.25</v>
      </c>
    </row>
    <row r="20" spans="1:8" x14ac:dyDescent="0.35">
      <c r="A20" s="110" t="s">
        <v>95</v>
      </c>
      <c r="B20" s="122" t="s">
        <v>142</v>
      </c>
      <c r="C20" s="125">
        <v>68</v>
      </c>
      <c r="D20" s="110">
        <v>30</v>
      </c>
      <c r="E20" s="125">
        <v>0</v>
      </c>
      <c r="F20" s="110">
        <v>0</v>
      </c>
      <c r="G20" s="128">
        <f t="shared" si="0"/>
        <v>68</v>
      </c>
      <c r="H20" s="127">
        <f t="shared" si="1"/>
        <v>0.5</v>
      </c>
    </row>
    <row r="21" spans="1:8" x14ac:dyDescent="0.35">
      <c r="A21" s="110" t="s">
        <v>96</v>
      </c>
      <c r="B21" s="122" t="s">
        <v>143</v>
      </c>
      <c r="C21" s="125">
        <v>450</v>
      </c>
      <c r="D21" s="110">
        <v>180</v>
      </c>
      <c r="E21" s="125">
        <v>65</v>
      </c>
      <c r="F21" s="110">
        <v>120</v>
      </c>
      <c r="G21" s="128">
        <f t="shared" si="0"/>
        <v>515</v>
      </c>
      <c r="H21" s="127">
        <f t="shared" si="1"/>
        <v>5</v>
      </c>
    </row>
    <row r="22" spans="1:8" x14ac:dyDescent="0.35">
      <c r="A22" s="110" t="s">
        <v>97</v>
      </c>
      <c r="B22" s="122" t="s">
        <v>144</v>
      </c>
      <c r="C22" s="110">
        <v>1075</v>
      </c>
      <c r="D22" s="110">
        <v>240</v>
      </c>
      <c r="E22" s="125">
        <v>1125</v>
      </c>
      <c r="F22" s="110">
        <v>120</v>
      </c>
      <c r="G22" s="128">
        <f t="shared" si="0"/>
        <v>2200</v>
      </c>
      <c r="H22" s="127">
        <f t="shared" si="1"/>
        <v>6</v>
      </c>
    </row>
    <row r="23" spans="1:8" x14ac:dyDescent="0.35">
      <c r="A23" s="110" t="s">
        <v>145</v>
      </c>
      <c r="B23" s="122" t="s">
        <v>146</v>
      </c>
      <c r="C23" s="110">
        <v>1300</v>
      </c>
      <c r="D23" s="110">
        <v>240</v>
      </c>
      <c r="E23" s="125">
        <v>277</v>
      </c>
      <c r="F23" s="110">
        <v>120</v>
      </c>
      <c r="G23" s="128">
        <f t="shared" si="0"/>
        <v>1577</v>
      </c>
      <c r="H23" s="127">
        <f t="shared" si="1"/>
        <v>6</v>
      </c>
    </row>
    <row r="24" spans="1:8" x14ac:dyDescent="0.35">
      <c r="A24" s="106" t="s">
        <v>98</v>
      </c>
      <c r="B24" s="106" t="s">
        <v>99</v>
      </c>
      <c r="C24" s="125">
        <v>300</v>
      </c>
      <c r="D24" s="106">
        <v>180</v>
      </c>
      <c r="E24" s="125">
        <v>55.7</v>
      </c>
      <c r="F24" s="106">
        <v>0</v>
      </c>
      <c r="G24" s="128">
        <f t="shared" si="0"/>
        <v>355.7</v>
      </c>
      <c r="H24" s="127">
        <f t="shared" si="1"/>
        <v>3</v>
      </c>
    </row>
    <row r="25" spans="1:8" x14ac:dyDescent="0.35">
      <c r="A25" s="106" t="s">
        <v>100</v>
      </c>
      <c r="B25" s="106" t="s">
        <v>101</v>
      </c>
      <c r="C25" s="125">
        <v>240</v>
      </c>
      <c r="D25" s="106">
        <v>180</v>
      </c>
      <c r="E25" s="125">
        <v>45.7</v>
      </c>
      <c r="F25" s="106">
        <v>0</v>
      </c>
      <c r="G25" s="128">
        <f t="shared" si="0"/>
        <v>285.7</v>
      </c>
      <c r="H25" s="127">
        <f t="shared" si="1"/>
        <v>3</v>
      </c>
    </row>
    <row r="26" spans="1:8" x14ac:dyDescent="0.35">
      <c r="A26" s="106" t="s">
        <v>102</v>
      </c>
      <c r="B26" s="153" t="s">
        <v>103</v>
      </c>
      <c r="C26" s="154">
        <v>139</v>
      </c>
      <c r="D26" s="155">
        <v>240</v>
      </c>
      <c r="E26" s="154">
        <v>68.734700000000004</v>
      </c>
      <c r="F26" s="155">
        <v>0</v>
      </c>
      <c r="G26" s="156">
        <f t="shared" si="0"/>
        <v>207.7347</v>
      </c>
      <c r="H26" s="157">
        <f t="shared" si="1"/>
        <v>4</v>
      </c>
    </row>
    <row r="27" spans="1:8" x14ac:dyDescent="0.35">
      <c r="A27" s="110" t="s">
        <v>104</v>
      </c>
      <c r="B27" s="122" t="s">
        <v>402</v>
      </c>
      <c r="C27" s="125">
        <v>2750</v>
      </c>
      <c r="D27" s="110">
        <v>720</v>
      </c>
      <c r="E27" s="110">
        <v>69</v>
      </c>
      <c r="F27" s="110">
        <v>120</v>
      </c>
      <c r="G27" s="128">
        <f t="shared" si="0"/>
        <v>2819</v>
      </c>
      <c r="H27" s="127">
        <f t="shared" si="1"/>
        <v>14</v>
      </c>
    </row>
    <row r="28" spans="1:8" x14ac:dyDescent="0.35">
      <c r="A28" s="168"/>
      <c r="B28" s="122"/>
      <c r="C28" s="125"/>
      <c r="D28" s="168"/>
      <c r="E28" s="168"/>
      <c r="F28" s="168"/>
      <c r="G28" s="169"/>
      <c r="H28" s="172"/>
    </row>
    <row r="29" spans="1:8" x14ac:dyDescent="0.35">
      <c r="A29" s="173" t="s">
        <v>205</v>
      </c>
      <c r="B29" s="122" t="s">
        <v>206</v>
      </c>
      <c r="C29" s="174"/>
      <c r="D29" s="175"/>
      <c r="E29" s="175">
        <v>430</v>
      </c>
      <c r="F29" s="176">
        <v>180</v>
      </c>
      <c r="G29" s="128">
        <f t="shared" si="0"/>
        <v>430</v>
      </c>
      <c r="H29" s="127">
        <f t="shared" si="1"/>
        <v>3</v>
      </c>
    </row>
    <row r="32" spans="1:8" x14ac:dyDescent="0.35">
      <c r="B32" s="178" t="s">
        <v>403</v>
      </c>
      <c r="C32" t="s">
        <v>404</v>
      </c>
    </row>
    <row r="34" spans="2:2" x14ac:dyDescent="0.35">
      <c r="B34" t="s">
        <v>154</v>
      </c>
    </row>
    <row r="35" spans="2:2" x14ac:dyDescent="0.35">
      <c r="B35" t="s">
        <v>155</v>
      </c>
    </row>
  </sheetData>
  <phoneticPr fontId="0" type="noConversion"/>
  <pageMargins left="0.7" right="0.7" top="0.78740157499999996" bottom="0.78740157499999996" header="0.3" footer="0.3"/>
  <pageSetup paperSize="9" scale="9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G88"/>
  <sheetViews>
    <sheetView topLeftCell="A31" zoomScale="85" zoomScaleNormal="85" workbookViewId="0">
      <selection activeCell="C71" sqref="C71"/>
    </sheetView>
  </sheetViews>
  <sheetFormatPr baseColWidth="10" defaultRowHeight="14.5" x14ac:dyDescent="0.35"/>
  <cols>
    <col min="1" max="1" width="11" customWidth="1"/>
    <col min="2" max="2" width="9.1796875" customWidth="1"/>
    <col min="3" max="3" width="12" customWidth="1"/>
    <col min="4" max="5" width="10" customWidth="1"/>
    <col min="6" max="6" width="7.7265625" customWidth="1"/>
    <col min="7" max="7" width="8.81640625" customWidth="1"/>
    <col min="8" max="8" width="8.54296875" customWidth="1"/>
    <col min="9" max="9" width="8.81640625" customWidth="1"/>
    <col min="10" max="10" width="10.26953125" customWidth="1"/>
    <col min="11" max="11" width="7.7265625" customWidth="1"/>
    <col min="12" max="12" width="8.7265625" customWidth="1"/>
    <col min="13" max="13" width="7.7265625" customWidth="1"/>
    <col min="14" max="14" width="9.81640625" customWidth="1"/>
    <col min="15" max="15" width="10.81640625" customWidth="1"/>
    <col min="16" max="16" width="9.81640625" customWidth="1"/>
    <col min="17" max="18" width="8.7265625" customWidth="1"/>
    <col min="19" max="19" width="10.26953125" customWidth="1"/>
    <col min="20" max="21" width="9.81640625" bestFit="1" customWidth="1"/>
    <col min="22" max="22" width="10.1796875" customWidth="1"/>
    <col min="23" max="23" width="9.81640625" bestFit="1" customWidth="1"/>
    <col min="26" max="26" width="11.81640625" bestFit="1" customWidth="1"/>
  </cols>
  <sheetData>
    <row r="1" spans="1:25" ht="24.75" customHeight="1" thickBot="1" x14ac:dyDescent="0.4">
      <c r="A1" s="118" t="s">
        <v>74</v>
      </c>
      <c r="B1" s="119" t="str">
        <f>Übersicht!C3</f>
        <v>Faurecia Entwurf 1</v>
      </c>
      <c r="C1" s="120"/>
      <c r="D1" s="121"/>
      <c r="E1" s="118" t="s">
        <v>75</v>
      </c>
      <c r="F1" s="118">
        <f>Übersicht!D3</f>
        <v>44322</v>
      </c>
      <c r="G1" s="85"/>
      <c r="H1" s="86"/>
      <c r="I1" s="120"/>
      <c r="J1" s="120"/>
      <c r="K1" s="120"/>
      <c r="L1" s="120"/>
      <c r="M1" s="120"/>
      <c r="N1" s="120"/>
      <c r="O1" s="121"/>
      <c r="P1" s="101" t="s">
        <v>33</v>
      </c>
      <c r="Q1" s="509" t="str">
        <f>Übersicht!D2</f>
        <v>Datum</v>
      </c>
      <c r="R1" s="510"/>
    </row>
    <row r="2" spans="1:25" x14ac:dyDescent="0.35">
      <c r="A2" t="s">
        <v>131</v>
      </c>
      <c r="B2" t="s">
        <v>35</v>
      </c>
      <c r="C2" t="s">
        <v>132</v>
      </c>
      <c r="D2" t="s">
        <v>9</v>
      </c>
      <c r="E2" t="s">
        <v>133</v>
      </c>
      <c r="F2" t="s">
        <v>113</v>
      </c>
      <c r="G2" s="189" t="s">
        <v>156</v>
      </c>
      <c r="H2" t="s">
        <v>114</v>
      </c>
      <c r="I2" t="s">
        <v>115</v>
      </c>
      <c r="J2" t="s">
        <v>134</v>
      </c>
      <c r="K2" t="s">
        <v>147</v>
      </c>
      <c r="L2" t="s">
        <v>135</v>
      </c>
      <c r="M2" t="s">
        <v>116</v>
      </c>
      <c r="N2" t="s">
        <v>16</v>
      </c>
      <c r="O2" t="s">
        <v>136</v>
      </c>
      <c r="P2" t="s">
        <v>118</v>
      </c>
      <c r="Q2" t="s">
        <v>137</v>
      </c>
      <c r="R2" t="s">
        <v>6</v>
      </c>
      <c r="S2" t="s">
        <v>7</v>
      </c>
      <c r="T2" t="s">
        <v>8</v>
      </c>
      <c r="V2" t="s">
        <v>27</v>
      </c>
      <c r="X2" t="s">
        <v>151</v>
      </c>
      <c r="Y2" t="s">
        <v>173</v>
      </c>
    </row>
    <row r="3" spans="1:25" x14ac:dyDescent="0.35">
      <c r="A3" t="s">
        <v>138</v>
      </c>
      <c r="B3" s="117">
        <f>BaaN!G3</f>
        <v>1813</v>
      </c>
      <c r="C3" s="117">
        <f>BaaN!G3+BaaN!G5</f>
        <v>2947</v>
      </c>
      <c r="D3" s="117">
        <f>BaaN!G8</f>
        <v>75</v>
      </c>
      <c r="E3" s="117">
        <f>BaaN!G10</f>
        <v>3</v>
      </c>
      <c r="F3" s="117">
        <f>BaaN!G11</f>
        <v>278.3</v>
      </c>
      <c r="G3" s="159">
        <f>BaaN!E29</f>
        <v>430</v>
      </c>
      <c r="H3" s="117">
        <f>BaaN!G12</f>
        <v>277.2</v>
      </c>
      <c r="I3" s="117">
        <f>BaaN!G14</f>
        <v>315</v>
      </c>
      <c r="J3" s="117">
        <f>BaaN!G19+BaaN!G20</f>
        <v>267.5</v>
      </c>
      <c r="K3" s="117">
        <f>BaaN!C24-BaaN!C19</f>
        <v>148</v>
      </c>
      <c r="L3" s="117">
        <f>BaaN!G13</f>
        <v>22</v>
      </c>
      <c r="M3" s="117">
        <f>BaaN!G15</f>
        <v>270.10000000000002</v>
      </c>
      <c r="N3" s="117">
        <f>BaaN!G27</f>
        <v>2819</v>
      </c>
      <c r="O3" s="117">
        <f>BaaN!G21</f>
        <v>515</v>
      </c>
      <c r="P3" s="117">
        <f>BaaN!G22</f>
        <v>2200</v>
      </c>
      <c r="Q3" s="117">
        <f>BaaN!G23</f>
        <v>1577</v>
      </c>
      <c r="R3" s="117">
        <f>BaaN!G16</f>
        <v>740</v>
      </c>
      <c r="S3" s="117">
        <f>BaaN!G18</f>
        <v>7470</v>
      </c>
      <c r="T3" s="117">
        <f>BaaN!G17</f>
        <v>1860</v>
      </c>
      <c r="U3" s="117"/>
      <c r="V3">
        <f>'AP und Sort'!O3</f>
        <v>31</v>
      </c>
      <c r="W3" s="117"/>
      <c r="X3">
        <f>Übersicht!K5</f>
        <v>0</v>
      </c>
      <c r="Y3">
        <f>Steuerg!T43</f>
        <v>2</v>
      </c>
    </row>
    <row r="4" spans="1:25" x14ac:dyDescent="0.35">
      <c r="A4">
        <v>2</v>
      </c>
      <c r="B4" s="117">
        <f t="shared" ref="B4:B22" si="0">B3</f>
        <v>1813</v>
      </c>
      <c r="C4" s="117">
        <f t="shared" ref="C4:C22" si="1">C3</f>
        <v>2947</v>
      </c>
      <c r="D4" s="117">
        <f t="shared" ref="D4:D22" si="2">D3</f>
        <v>75</v>
      </c>
      <c r="E4" s="117">
        <f t="shared" ref="E4:G19" si="3">E3</f>
        <v>3</v>
      </c>
      <c r="F4" s="117">
        <f t="shared" ref="F4:G13" si="4">F3</f>
        <v>278.3</v>
      </c>
      <c r="G4" s="117">
        <f t="shared" si="4"/>
        <v>430</v>
      </c>
      <c r="H4" s="117">
        <f t="shared" ref="H4:H22" si="5">H3</f>
        <v>277.2</v>
      </c>
      <c r="I4" s="117">
        <f t="shared" ref="I4:K19" si="6">I3</f>
        <v>315</v>
      </c>
      <c r="J4" s="117">
        <f t="shared" ref="J4:K13" si="7">J3</f>
        <v>267.5</v>
      </c>
      <c r="K4" s="117">
        <f t="shared" si="7"/>
        <v>148</v>
      </c>
      <c r="L4" s="117">
        <f t="shared" ref="L4:L27" si="8">L3</f>
        <v>22</v>
      </c>
      <c r="M4" s="117">
        <f t="shared" ref="M4:M27" si="9">M3</f>
        <v>270.10000000000002</v>
      </c>
      <c r="N4" s="117">
        <f t="shared" ref="N4:N27" si="10">N3</f>
        <v>2819</v>
      </c>
      <c r="O4" s="117">
        <f t="shared" ref="O4:O27" si="11">O3</f>
        <v>515</v>
      </c>
      <c r="P4" s="117">
        <f t="shared" ref="P4:P27" si="12">P3</f>
        <v>2200</v>
      </c>
      <c r="Q4" s="117">
        <f t="shared" ref="Q4:Q27" si="13">Q3</f>
        <v>1577</v>
      </c>
      <c r="R4" s="117">
        <f t="shared" ref="R4:R27" si="14">R3</f>
        <v>740</v>
      </c>
      <c r="S4" s="117">
        <f t="shared" ref="S4:S27" si="15">S3</f>
        <v>7470</v>
      </c>
      <c r="T4" s="117">
        <f t="shared" ref="T4:T27" si="16">T3</f>
        <v>1860</v>
      </c>
      <c r="U4" s="117"/>
      <c r="V4" s="117">
        <f t="shared" ref="V4:V27" si="17">V3</f>
        <v>31</v>
      </c>
      <c r="W4" s="117"/>
      <c r="X4">
        <f>X3</f>
        <v>0</v>
      </c>
    </row>
    <row r="5" spans="1:25" x14ac:dyDescent="0.35">
      <c r="A5">
        <f>A4+1</f>
        <v>3</v>
      </c>
      <c r="B5" s="117">
        <f t="shared" si="0"/>
        <v>1813</v>
      </c>
      <c r="C5" s="117">
        <f t="shared" si="1"/>
        <v>2947</v>
      </c>
      <c r="D5" s="117">
        <f t="shared" si="2"/>
        <v>75</v>
      </c>
      <c r="E5" s="117">
        <f t="shared" si="3"/>
        <v>3</v>
      </c>
      <c r="F5" s="117">
        <f t="shared" si="4"/>
        <v>278.3</v>
      </c>
      <c r="G5" s="117">
        <f t="shared" si="4"/>
        <v>430</v>
      </c>
      <c r="H5" s="117">
        <f t="shared" si="5"/>
        <v>277.2</v>
      </c>
      <c r="I5" s="117">
        <f t="shared" si="6"/>
        <v>315</v>
      </c>
      <c r="J5" s="117">
        <f t="shared" si="7"/>
        <v>267.5</v>
      </c>
      <c r="K5" s="117">
        <f t="shared" si="7"/>
        <v>148</v>
      </c>
      <c r="L5" s="117">
        <f t="shared" si="8"/>
        <v>22</v>
      </c>
      <c r="M5" s="117">
        <f t="shared" si="9"/>
        <v>270.10000000000002</v>
      </c>
      <c r="N5" s="117">
        <f t="shared" si="10"/>
        <v>2819</v>
      </c>
      <c r="O5" s="117">
        <f t="shared" si="11"/>
        <v>515</v>
      </c>
      <c r="P5" s="117">
        <f t="shared" si="12"/>
        <v>2200</v>
      </c>
      <c r="Q5" s="117">
        <f t="shared" si="13"/>
        <v>1577</v>
      </c>
      <c r="R5" s="117">
        <f t="shared" si="14"/>
        <v>740</v>
      </c>
      <c r="S5" s="117">
        <f t="shared" si="15"/>
        <v>7470</v>
      </c>
      <c r="T5" s="117">
        <f t="shared" si="16"/>
        <v>1860</v>
      </c>
      <c r="U5" s="117"/>
      <c r="V5" s="117">
        <f t="shared" si="17"/>
        <v>31</v>
      </c>
      <c r="W5" s="117"/>
      <c r="X5">
        <f t="shared" ref="X5:X54" si="18">X4</f>
        <v>0</v>
      </c>
    </row>
    <row r="6" spans="1:25" x14ac:dyDescent="0.35">
      <c r="A6">
        <f t="shared" ref="A6:A27" si="19">A5+1</f>
        <v>4</v>
      </c>
      <c r="B6" s="117">
        <f t="shared" si="0"/>
        <v>1813</v>
      </c>
      <c r="C6" s="117">
        <f t="shared" si="1"/>
        <v>2947</v>
      </c>
      <c r="D6" s="117">
        <f t="shared" si="2"/>
        <v>75</v>
      </c>
      <c r="E6" s="117">
        <f t="shared" si="3"/>
        <v>3</v>
      </c>
      <c r="F6" s="117">
        <f t="shared" si="4"/>
        <v>278.3</v>
      </c>
      <c r="G6" s="117">
        <f t="shared" si="4"/>
        <v>430</v>
      </c>
      <c r="H6" s="117">
        <f t="shared" si="5"/>
        <v>277.2</v>
      </c>
      <c r="I6" s="117">
        <f t="shared" si="6"/>
        <v>315</v>
      </c>
      <c r="J6" s="117">
        <f t="shared" si="7"/>
        <v>267.5</v>
      </c>
      <c r="K6" s="117">
        <f t="shared" si="7"/>
        <v>148</v>
      </c>
      <c r="L6" s="117">
        <f t="shared" si="8"/>
        <v>22</v>
      </c>
      <c r="M6" s="117">
        <f t="shared" si="9"/>
        <v>270.10000000000002</v>
      </c>
      <c r="N6" s="117">
        <f t="shared" si="10"/>
        <v>2819</v>
      </c>
      <c r="O6" s="117">
        <f t="shared" si="11"/>
        <v>515</v>
      </c>
      <c r="P6" s="117">
        <f t="shared" si="12"/>
        <v>2200</v>
      </c>
      <c r="Q6" s="117">
        <f t="shared" si="13"/>
        <v>1577</v>
      </c>
      <c r="R6" s="117">
        <f t="shared" si="14"/>
        <v>740</v>
      </c>
      <c r="S6" s="117">
        <f t="shared" si="15"/>
        <v>7470</v>
      </c>
      <c r="T6" s="117">
        <f t="shared" si="16"/>
        <v>1860</v>
      </c>
      <c r="U6" s="117"/>
      <c r="V6" s="117">
        <f t="shared" si="17"/>
        <v>31</v>
      </c>
      <c r="W6" s="117"/>
      <c r="X6">
        <f t="shared" si="18"/>
        <v>0</v>
      </c>
    </row>
    <row r="7" spans="1:25" x14ac:dyDescent="0.35">
      <c r="A7">
        <f t="shared" si="19"/>
        <v>5</v>
      </c>
      <c r="B7" s="117">
        <f t="shared" si="0"/>
        <v>1813</v>
      </c>
      <c r="C7" s="117">
        <f t="shared" si="1"/>
        <v>2947</v>
      </c>
      <c r="D7" s="117">
        <f t="shared" si="2"/>
        <v>75</v>
      </c>
      <c r="E7" s="117">
        <f t="shared" si="3"/>
        <v>3</v>
      </c>
      <c r="F7" s="117">
        <f t="shared" si="4"/>
        <v>278.3</v>
      </c>
      <c r="G7" s="117">
        <f t="shared" si="4"/>
        <v>430</v>
      </c>
      <c r="H7" s="117">
        <f t="shared" si="5"/>
        <v>277.2</v>
      </c>
      <c r="I7" s="117">
        <f t="shared" si="6"/>
        <v>315</v>
      </c>
      <c r="J7" s="117">
        <f t="shared" si="7"/>
        <v>267.5</v>
      </c>
      <c r="K7" s="117">
        <f t="shared" si="7"/>
        <v>148</v>
      </c>
      <c r="L7" s="117">
        <f t="shared" si="8"/>
        <v>22</v>
      </c>
      <c r="M7" s="117">
        <f t="shared" si="9"/>
        <v>270.10000000000002</v>
      </c>
      <c r="N7" s="117">
        <f t="shared" si="10"/>
        <v>2819</v>
      </c>
      <c r="O7" s="117">
        <f t="shared" si="11"/>
        <v>515</v>
      </c>
      <c r="P7" s="117">
        <f t="shared" si="12"/>
        <v>2200</v>
      </c>
      <c r="Q7" s="117">
        <f t="shared" si="13"/>
        <v>1577</v>
      </c>
      <c r="R7" s="117">
        <f t="shared" si="14"/>
        <v>740</v>
      </c>
      <c r="S7" s="117">
        <f t="shared" si="15"/>
        <v>7470</v>
      </c>
      <c r="T7" s="117">
        <f t="shared" si="16"/>
        <v>1860</v>
      </c>
      <c r="U7" s="117"/>
      <c r="V7" s="117">
        <f t="shared" si="17"/>
        <v>31</v>
      </c>
      <c r="W7" s="117"/>
      <c r="X7">
        <f t="shared" si="18"/>
        <v>0</v>
      </c>
    </row>
    <row r="8" spans="1:25" x14ac:dyDescent="0.35">
      <c r="A8">
        <f t="shared" si="19"/>
        <v>6</v>
      </c>
      <c r="B8" s="117">
        <f t="shared" si="0"/>
        <v>1813</v>
      </c>
      <c r="C8" s="117">
        <f t="shared" si="1"/>
        <v>2947</v>
      </c>
      <c r="D8" s="117">
        <f t="shared" si="2"/>
        <v>75</v>
      </c>
      <c r="E8" s="117">
        <f t="shared" si="3"/>
        <v>3</v>
      </c>
      <c r="F8" s="117">
        <f t="shared" si="4"/>
        <v>278.3</v>
      </c>
      <c r="G8" s="117">
        <f t="shared" si="4"/>
        <v>430</v>
      </c>
      <c r="H8" s="117">
        <f t="shared" si="5"/>
        <v>277.2</v>
      </c>
      <c r="I8" s="117">
        <f t="shared" si="6"/>
        <v>315</v>
      </c>
      <c r="J8" s="117">
        <f t="shared" si="7"/>
        <v>267.5</v>
      </c>
      <c r="K8" s="117">
        <f t="shared" si="7"/>
        <v>148</v>
      </c>
      <c r="L8" s="117">
        <f t="shared" si="8"/>
        <v>22</v>
      </c>
      <c r="M8" s="117">
        <f t="shared" si="9"/>
        <v>270.10000000000002</v>
      </c>
      <c r="N8" s="117">
        <f t="shared" si="10"/>
        <v>2819</v>
      </c>
      <c r="O8" s="117">
        <f t="shared" si="11"/>
        <v>515</v>
      </c>
      <c r="P8" s="117">
        <f t="shared" si="12"/>
        <v>2200</v>
      </c>
      <c r="Q8" s="117">
        <f t="shared" si="13"/>
        <v>1577</v>
      </c>
      <c r="R8" s="117">
        <f t="shared" si="14"/>
        <v>740</v>
      </c>
      <c r="S8" s="117">
        <f t="shared" si="15"/>
        <v>7470</v>
      </c>
      <c r="T8" s="117">
        <f t="shared" si="16"/>
        <v>1860</v>
      </c>
      <c r="U8" s="117"/>
      <c r="V8" s="117">
        <f t="shared" si="17"/>
        <v>31</v>
      </c>
      <c r="W8" s="117"/>
      <c r="X8">
        <f t="shared" si="18"/>
        <v>0</v>
      </c>
    </row>
    <row r="9" spans="1:25" x14ac:dyDescent="0.35">
      <c r="A9">
        <f t="shared" si="19"/>
        <v>7</v>
      </c>
      <c r="B9" s="117">
        <f t="shared" si="0"/>
        <v>1813</v>
      </c>
      <c r="C9" s="117">
        <f t="shared" si="1"/>
        <v>2947</v>
      </c>
      <c r="D9" s="117">
        <f t="shared" si="2"/>
        <v>75</v>
      </c>
      <c r="E9" s="117">
        <f t="shared" si="3"/>
        <v>3</v>
      </c>
      <c r="F9" s="117">
        <f t="shared" si="4"/>
        <v>278.3</v>
      </c>
      <c r="G9" s="117">
        <f t="shared" si="4"/>
        <v>430</v>
      </c>
      <c r="H9" s="117">
        <f t="shared" si="5"/>
        <v>277.2</v>
      </c>
      <c r="I9" s="117">
        <f t="shared" si="6"/>
        <v>315</v>
      </c>
      <c r="J9" s="117">
        <f t="shared" si="7"/>
        <v>267.5</v>
      </c>
      <c r="K9" s="117">
        <f t="shared" si="7"/>
        <v>148</v>
      </c>
      <c r="L9" s="117">
        <f t="shared" si="8"/>
        <v>22</v>
      </c>
      <c r="M9" s="117">
        <f t="shared" si="9"/>
        <v>270.10000000000002</v>
      </c>
      <c r="N9" s="117">
        <f t="shared" si="10"/>
        <v>2819</v>
      </c>
      <c r="O9" s="117">
        <f t="shared" si="11"/>
        <v>515</v>
      </c>
      <c r="P9" s="117">
        <f t="shared" si="12"/>
        <v>2200</v>
      </c>
      <c r="Q9" s="117">
        <f t="shared" si="13"/>
        <v>1577</v>
      </c>
      <c r="R9" s="117">
        <f t="shared" si="14"/>
        <v>740</v>
      </c>
      <c r="S9" s="117">
        <f t="shared" si="15"/>
        <v>7470</v>
      </c>
      <c r="T9" s="117">
        <f t="shared" si="16"/>
        <v>1860</v>
      </c>
      <c r="U9" s="117"/>
      <c r="V9" s="117">
        <f t="shared" si="17"/>
        <v>31</v>
      </c>
      <c r="W9" s="117"/>
      <c r="X9">
        <f t="shared" si="18"/>
        <v>0</v>
      </c>
    </row>
    <row r="10" spans="1:25" x14ac:dyDescent="0.35">
      <c r="A10">
        <f t="shared" si="19"/>
        <v>8</v>
      </c>
      <c r="B10" s="117">
        <f t="shared" si="0"/>
        <v>1813</v>
      </c>
      <c r="C10" s="117">
        <f t="shared" si="1"/>
        <v>2947</v>
      </c>
      <c r="D10" s="117">
        <f t="shared" si="2"/>
        <v>75</v>
      </c>
      <c r="E10" s="117">
        <f t="shared" si="3"/>
        <v>3</v>
      </c>
      <c r="F10" s="117">
        <f t="shared" si="4"/>
        <v>278.3</v>
      </c>
      <c r="G10" s="117">
        <f t="shared" si="4"/>
        <v>430</v>
      </c>
      <c r="H10" s="117">
        <f t="shared" si="5"/>
        <v>277.2</v>
      </c>
      <c r="I10" s="117">
        <f t="shared" si="6"/>
        <v>315</v>
      </c>
      <c r="J10" s="117">
        <f t="shared" si="7"/>
        <v>267.5</v>
      </c>
      <c r="K10" s="117">
        <f t="shared" si="7"/>
        <v>148</v>
      </c>
      <c r="L10" s="117">
        <f t="shared" si="8"/>
        <v>22</v>
      </c>
      <c r="M10" s="117">
        <f t="shared" si="9"/>
        <v>270.10000000000002</v>
      </c>
      <c r="N10" s="117">
        <f t="shared" si="10"/>
        <v>2819</v>
      </c>
      <c r="O10" s="117">
        <f t="shared" si="11"/>
        <v>515</v>
      </c>
      <c r="P10" s="117">
        <f t="shared" si="12"/>
        <v>2200</v>
      </c>
      <c r="Q10" s="117">
        <f t="shared" si="13"/>
        <v>1577</v>
      </c>
      <c r="R10" s="117">
        <f t="shared" si="14"/>
        <v>740</v>
      </c>
      <c r="S10" s="117">
        <f t="shared" si="15"/>
        <v>7470</v>
      </c>
      <c r="T10" s="117">
        <f t="shared" si="16"/>
        <v>1860</v>
      </c>
      <c r="U10" s="117"/>
      <c r="V10" s="117">
        <f t="shared" si="17"/>
        <v>31</v>
      </c>
      <c r="W10" s="117"/>
      <c r="X10">
        <f t="shared" si="18"/>
        <v>0</v>
      </c>
    </row>
    <row r="11" spans="1:25" x14ac:dyDescent="0.35">
      <c r="A11">
        <f t="shared" si="19"/>
        <v>9</v>
      </c>
      <c r="B11" s="117">
        <f t="shared" si="0"/>
        <v>1813</v>
      </c>
      <c r="C11" s="117">
        <f t="shared" si="1"/>
        <v>2947</v>
      </c>
      <c r="D11" s="117">
        <f t="shared" si="2"/>
        <v>75</v>
      </c>
      <c r="E11" s="117">
        <f t="shared" si="3"/>
        <v>3</v>
      </c>
      <c r="F11" s="117">
        <f t="shared" si="4"/>
        <v>278.3</v>
      </c>
      <c r="G11" s="117">
        <f t="shared" si="4"/>
        <v>430</v>
      </c>
      <c r="H11" s="117">
        <f t="shared" si="5"/>
        <v>277.2</v>
      </c>
      <c r="I11" s="117">
        <f t="shared" si="6"/>
        <v>315</v>
      </c>
      <c r="J11" s="117">
        <f t="shared" si="7"/>
        <v>267.5</v>
      </c>
      <c r="K11" s="117">
        <f t="shared" si="7"/>
        <v>148</v>
      </c>
      <c r="L11" s="117">
        <f t="shared" si="8"/>
        <v>22</v>
      </c>
      <c r="M11" s="117">
        <f t="shared" si="9"/>
        <v>270.10000000000002</v>
      </c>
      <c r="N11" s="117">
        <f t="shared" si="10"/>
        <v>2819</v>
      </c>
      <c r="O11" s="117">
        <f t="shared" si="11"/>
        <v>515</v>
      </c>
      <c r="P11" s="117">
        <f t="shared" si="12"/>
        <v>2200</v>
      </c>
      <c r="Q11" s="117">
        <f t="shared" si="13"/>
        <v>1577</v>
      </c>
      <c r="R11" s="117">
        <f t="shared" si="14"/>
        <v>740</v>
      </c>
      <c r="S11" s="117">
        <f t="shared" si="15"/>
        <v>7470</v>
      </c>
      <c r="T11" s="117">
        <f t="shared" si="16"/>
        <v>1860</v>
      </c>
      <c r="U11" s="117"/>
      <c r="V11" s="117">
        <f t="shared" si="17"/>
        <v>31</v>
      </c>
      <c r="W11" s="117"/>
      <c r="X11">
        <f t="shared" si="18"/>
        <v>0</v>
      </c>
    </row>
    <row r="12" spans="1:25" x14ac:dyDescent="0.35">
      <c r="A12">
        <f t="shared" si="19"/>
        <v>10</v>
      </c>
      <c r="B12" s="117">
        <f t="shared" si="0"/>
        <v>1813</v>
      </c>
      <c r="C12" s="117">
        <f t="shared" si="1"/>
        <v>2947</v>
      </c>
      <c r="D12" s="117">
        <f t="shared" si="2"/>
        <v>75</v>
      </c>
      <c r="E12" s="117">
        <f t="shared" si="3"/>
        <v>3</v>
      </c>
      <c r="F12" s="117">
        <f t="shared" si="4"/>
        <v>278.3</v>
      </c>
      <c r="G12" s="117">
        <f t="shared" si="4"/>
        <v>430</v>
      </c>
      <c r="H12" s="117">
        <f t="shared" si="5"/>
        <v>277.2</v>
      </c>
      <c r="I12" s="117">
        <f t="shared" si="6"/>
        <v>315</v>
      </c>
      <c r="J12" s="117">
        <f t="shared" si="7"/>
        <v>267.5</v>
      </c>
      <c r="K12" s="117">
        <f t="shared" si="7"/>
        <v>148</v>
      </c>
      <c r="L12" s="117">
        <f t="shared" si="8"/>
        <v>22</v>
      </c>
      <c r="M12" s="117">
        <f t="shared" si="9"/>
        <v>270.10000000000002</v>
      </c>
      <c r="N12" s="117">
        <f t="shared" si="10"/>
        <v>2819</v>
      </c>
      <c r="O12" s="117">
        <f t="shared" si="11"/>
        <v>515</v>
      </c>
      <c r="P12" s="117">
        <f t="shared" si="12"/>
        <v>2200</v>
      </c>
      <c r="Q12" s="117">
        <f t="shared" si="13"/>
        <v>1577</v>
      </c>
      <c r="R12" s="117">
        <f t="shared" si="14"/>
        <v>740</v>
      </c>
      <c r="S12" s="117">
        <f t="shared" si="15"/>
        <v>7470</v>
      </c>
      <c r="T12" s="117">
        <f t="shared" si="16"/>
        <v>1860</v>
      </c>
      <c r="U12" s="117"/>
      <c r="V12" s="117">
        <f t="shared" si="17"/>
        <v>31</v>
      </c>
      <c r="W12" s="117"/>
      <c r="X12">
        <f t="shared" si="18"/>
        <v>0</v>
      </c>
    </row>
    <row r="13" spans="1:25" x14ac:dyDescent="0.35">
      <c r="A13">
        <f t="shared" si="19"/>
        <v>11</v>
      </c>
      <c r="B13" s="117">
        <f t="shared" si="0"/>
        <v>1813</v>
      </c>
      <c r="C13" s="117">
        <f t="shared" si="1"/>
        <v>2947</v>
      </c>
      <c r="D13" s="117">
        <f t="shared" si="2"/>
        <v>75</v>
      </c>
      <c r="E13" s="117">
        <f t="shared" si="3"/>
        <v>3</v>
      </c>
      <c r="F13" s="117">
        <f t="shared" si="4"/>
        <v>278.3</v>
      </c>
      <c r="G13" s="117">
        <f t="shared" si="4"/>
        <v>430</v>
      </c>
      <c r="H13" s="117">
        <f t="shared" si="5"/>
        <v>277.2</v>
      </c>
      <c r="I13" s="117">
        <f t="shared" si="6"/>
        <v>315</v>
      </c>
      <c r="J13" s="117">
        <f t="shared" si="7"/>
        <v>267.5</v>
      </c>
      <c r="K13" s="117">
        <f t="shared" si="7"/>
        <v>148</v>
      </c>
      <c r="L13" s="117">
        <f t="shared" si="8"/>
        <v>22</v>
      </c>
      <c r="M13" s="117">
        <f t="shared" si="9"/>
        <v>270.10000000000002</v>
      </c>
      <c r="N13" s="117">
        <f t="shared" si="10"/>
        <v>2819</v>
      </c>
      <c r="O13" s="117">
        <f t="shared" si="11"/>
        <v>515</v>
      </c>
      <c r="P13" s="117">
        <f t="shared" si="12"/>
        <v>2200</v>
      </c>
      <c r="Q13" s="117">
        <f t="shared" si="13"/>
        <v>1577</v>
      </c>
      <c r="R13" s="117">
        <f t="shared" si="14"/>
        <v>740</v>
      </c>
      <c r="S13" s="117">
        <f t="shared" si="15"/>
        <v>7470</v>
      </c>
      <c r="T13" s="117">
        <f t="shared" si="16"/>
        <v>1860</v>
      </c>
      <c r="U13" s="117"/>
      <c r="V13" s="117">
        <f t="shared" si="17"/>
        <v>31</v>
      </c>
      <c r="W13" s="117"/>
      <c r="X13">
        <f t="shared" si="18"/>
        <v>0</v>
      </c>
    </row>
    <row r="14" spans="1:25" x14ac:dyDescent="0.35">
      <c r="A14">
        <f t="shared" si="19"/>
        <v>12</v>
      </c>
      <c r="B14" s="117">
        <f t="shared" si="0"/>
        <v>1813</v>
      </c>
      <c r="C14" s="117">
        <f t="shared" si="1"/>
        <v>2947</v>
      </c>
      <c r="D14" s="117">
        <f t="shared" si="2"/>
        <v>75</v>
      </c>
      <c r="E14" s="117">
        <f t="shared" si="3"/>
        <v>3</v>
      </c>
      <c r="F14" s="117">
        <f t="shared" si="3"/>
        <v>278.3</v>
      </c>
      <c r="G14" s="117">
        <f t="shared" si="3"/>
        <v>430</v>
      </c>
      <c r="H14" s="117">
        <f t="shared" si="5"/>
        <v>277.2</v>
      </c>
      <c r="I14" s="117">
        <f t="shared" si="6"/>
        <v>315</v>
      </c>
      <c r="J14" s="117">
        <f t="shared" si="6"/>
        <v>267.5</v>
      </c>
      <c r="K14" s="117">
        <f t="shared" si="6"/>
        <v>148</v>
      </c>
      <c r="L14" s="117">
        <f t="shared" si="8"/>
        <v>22</v>
      </c>
      <c r="M14" s="117">
        <f t="shared" si="9"/>
        <v>270.10000000000002</v>
      </c>
      <c r="N14" s="117">
        <f t="shared" si="10"/>
        <v>2819</v>
      </c>
      <c r="O14" s="117">
        <f t="shared" si="11"/>
        <v>515</v>
      </c>
      <c r="P14" s="117">
        <f t="shared" si="12"/>
        <v>2200</v>
      </c>
      <c r="Q14" s="117">
        <f t="shared" si="13"/>
        <v>1577</v>
      </c>
      <c r="R14" s="117">
        <f t="shared" si="14"/>
        <v>740</v>
      </c>
      <c r="S14" s="117">
        <f t="shared" si="15"/>
        <v>7470</v>
      </c>
      <c r="T14" s="117">
        <f t="shared" si="16"/>
        <v>1860</v>
      </c>
      <c r="U14" s="117"/>
      <c r="V14" s="117">
        <f t="shared" si="17"/>
        <v>31</v>
      </c>
      <c r="W14" s="117"/>
      <c r="X14">
        <f t="shared" si="18"/>
        <v>0</v>
      </c>
    </row>
    <row r="15" spans="1:25" x14ac:dyDescent="0.35">
      <c r="A15">
        <f t="shared" si="19"/>
        <v>13</v>
      </c>
      <c r="B15" s="117">
        <f t="shared" si="0"/>
        <v>1813</v>
      </c>
      <c r="C15" s="117">
        <f t="shared" si="1"/>
        <v>2947</v>
      </c>
      <c r="D15" s="117">
        <f t="shared" si="2"/>
        <v>75</v>
      </c>
      <c r="E15" s="117">
        <f t="shared" si="3"/>
        <v>3</v>
      </c>
      <c r="F15" s="117">
        <f t="shared" si="3"/>
        <v>278.3</v>
      </c>
      <c r="G15" s="117">
        <f t="shared" si="3"/>
        <v>430</v>
      </c>
      <c r="H15" s="117">
        <f t="shared" si="5"/>
        <v>277.2</v>
      </c>
      <c r="I15" s="117">
        <f t="shared" si="6"/>
        <v>315</v>
      </c>
      <c r="J15" s="117">
        <f t="shared" si="6"/>
        <v>267.5</v>
      </c>
      <c r="K15" s="117">
        <f t="shared" si="6"/>
        <v>148</v>
      </c>
      <c r="L15" s="117">
        <f t="shared" si="8"/>
        <v>22</v>
      </c>
      <c r="M15" s="117">
        <f t="shared" si="9"/>
        <v>270.10000000000002</v>
      </c>
      <c r="N15" s="117">
        <f t="shared" si="10"/>
        <v>2819</v>
      </c>
      <c r="O15" s="117">
        <f t="shared" si="11"/>
        <v>515</v>
      </c>
      <c r="P15" s="117">
        <f t="shared" si="12"/>
        <v>2200</v>
      </c>
      <c r="Q15" s="117">
        <f t="shared" si="13"/>
        <v>1577</v>
      </c>
      <c r="R15" s="117">
        <f t="shared" si="14"/>
        <v>740</v>
      </c>
      <c r="S15" s="117">
        <f t="shared" si="15"/>
        <v>7470</v>
      </c>
      <c r="T15" s="117">
        <f t="shared" si="16"/>
        <v>1860</v>
      </c>
      <c r="U15" s="117"/>
      <c r="V15" s="117">
        <f t="shared" si="17"/>
        <v>31</v>
      </c>
      <c r="W15" s="117"/>
      <c r="X15">
        <f t="shared" si="18"/>
        <v>0</v>
      </c>
    </row>
    <row r="16" spans="1:25" x14ac:dyDescent="0.35">
      <c r="A16">
        <f t="shared" si="19"/>
        <v>14</v>
      </c>
      <c r="B16" s="117">
        <f t="shared" si="0"/>
        <v>1813</v>
      </c>
      <c r="C16" s="117">
        <f t="shared" si="1"/>
        <v>2947</v>
      </c>
      <c r="D16" s="117">
        <f t="shared" si="2"/>
        <v>75</v>
      </c>
      <c r="E16" s="117">
        <f t="shared" si="3"/>
        <v>3</v>
      </c>
      <c r="F16" s="117">
        <f t="shared" si="3"/>
        <v>278.3</v>
      </c>
      <c r="G16" s="117">
        <f t="shared" si="3"/>
        <v>430</v>
      </c>
      <c r="H16" s="117">
        <f t="shared" si="5"/>
        <v>277.2</v>
      </c>
      <c r="I16" s="117">
        <f t="shared" si="6"/>
        <v>315</v>
      </c>
      <c r="J16" s="117">
        <f t="shared" si="6"/>
        <v>267.5</v>
      </c>
      <c r="K16" s="117">
        <f t="shared" si="6"/>
        <v>148</v>
      </c>
      <c r="L16" s="117">
        <f t="shared" si="8"/>
        <v>22</v>
      </c>
      <c r="M16" s="117">
        <f t="shared" si="9"/>
        <v>270.10000000000002</v>
      </c>
      <c r="N16" s="117">
        <f t="shared" si="10"/>
        <v>2819</v>
      </c>
      <c r="O16" s="117">
        <f t="shared" si="11"/>
        <v>515</v>
      </c>
      <c r="P16" s="117">
        <f t="shared" si="12"/>
        <v>2200</v>
      </c>
      <c r="Q16" s="117">
        <f t="shared" si="13"/>
        <v>1577</v>
      </c>
      <c r="R16" s="117">
        <f t="shared" si="14"/>
        <v>740</v>
      </c>
      <c r="S16" s="117">
        <f t="shared" si="15"/>
        <v>7470</v>
      </c>
      <c r="T16" s="117">
        <f t="shared" si="16"/>
        <v>1860</v>
      </c>
      <c r="U16" s="117"/>
      <c r="V16" s="117">
        <f t="shared" si="17"/>
        <v>31</v>
      </c>
      <c r="W16" s="117"/>
      <c r="X16">
        <f t="shared" si="18"/>
        <v>0</v>
      </c>
    </row>
    <row r="17" spans="1:24" x14ac:dyDescent="0.35">
      <c r="A17">
        <f t="shared" si="19"/>
        <v>15</v>
      </c>
      <c r="B17" s="117">
        <f t="shared" si="0"/>
        <v>1813</v>
      </c>
      <c r="C17" s="117">
        <f t="shared" si="1"/>
        <v>2947</v>
      </c>
      <c r="D17" s="117">
        <f t="shared" si="2"/>
        <v>75</v>
      </c>
      <c r="E17" s="117">
        <f t="shared" si="3"/>
        <v>3</v>
      </c>
      <c r="F17" s="117">
        <f t="shared" si="3"/>
        <v>278.3</v>
      </c>
      <c r="G17" s="117">
        <f t="shared" si="3"/>
        <v>430</v>
      </c>
      <c r="H17" s="117">
        <f t="shared" si="5"/>
        <v>277.2</v>
      </c>
      <c r="I17" s="117">
        <f t="shared" si="6"/>
        <v>315</v>
      </c>
      <c r="J17" s="117">
        <f t="shared" si="6"/>
        <v>267.5</v>
      </c>
      <c r="K17" s="117">
        <f t="shared" si="6"/>
        <v>148</v>
      </c>
      <c r="L17" s="117">
        <f t="shared" si="8"/>
        <v>22</v>
      </c>
      <c r="M17" s="117">
        <f t="shared" si="9"/>
        <v>270.10000000000002</v>
      </c>
      <c r="N17" s="117">
        <f t="shared" si="10"/>
        <v>2819</v>
      </c>
      <c r="O17" s="117">
        <f t="shared" si="11"/>
        <v>515</v>
      </c>
      <c r="P17" s="117">
        <f t="shared" si="12"/>
        <v>2200</v>
      </c>
      <c r="Q17" s="117">
        <f t="shared" si="13"/>
        <v>1577</v>
      </c>
      <c r="R17" s="117">
        <f t="shared" si="14"/>
        <v>740</v>
      </c>
      <c r="S17" s="117">
        <f t="shared" si="15"/>
        <v>7470</v>
      </c>
      <c r="T17" s="117">
        <f t="shared" si="16"/>
        <v>1860</v>
      </c>
      <c r="U17" s="117"/>
      <c r="V17" s="117">
        <f t="shared" si="17"/>
        <v>31</v>
      </c>
      <c r="W17" s="117"/>
      <c r="X17">
        <f t="shared" si="18"/>
        <v>0</v>
      </c>
    </row>
    <row r="18" spans="1:24" x14ac:dyDescent="0.35">
      <c r="A18">
        <f t="shared" si="19"/>
        <v>16</v>
      </c>
      <c r="B18" s="117">
        <f t="shared" si="0"/>
        <v>1813</v>
      </c>
      <c r="C18" s="117">
        <f t="shared" si="1"/>
        <v>2947</v>
      </c>
      <c r="D18" s="117">
        <f t="shared" si="2"/>
        <v>75</v>
      </c>
      <c r="E18" s="117">
        <f t="shared" si="3"/>
        <v>3</v>
      </c>
      <c r="F18" s="117">
        <f t="shared" si="3"/>
        <v>278.3</v>
      </c>
      <c r="G18" s="117">
        <f t="shared" si="3"/>
        <v>430</v>
      </c>
      <c r="H18" s="117">
        <f t="shared" si="5"/>
        <v>277.2</v>
      </c>
      <c r="I18" s="117">
        <f t="shared" si="6"/>
        <v>315</v>
      </c>
      <c r="J18" s="117">
        <f t="shared" si="6"/>
        <v>267.5</v>
      </c>
      <c r="K18" s="117">
        <f t="shared" si="6"/>
        <v>148</v>
      </c>
      <c r="L18" s="117">
        <f t="shared" si="8"/>
        <v>22</v>
      </c>
      <c r="M18" s="117">
        <f t="shared" si="9"/>
        <v>270.10000000000002</v>
      </c>
      <c r="N18" s="117">
        <f t="shared" si="10"/>
        <v>2819</v>
      </c>
      <c r="O18" s="117">
        <f t="shared" si="11"/>
        <v>515</v>
      </c>
      <c r="P18" s="117">
        <f t="shared" si="12"/>
        <v>2200</v>
      </c>
      <c r="Q18" s="117">
        <f t="shared" si="13"/>
        <v>1577</v>
      </c>
      <c r="R18" s="117">
        <f t="shared" si="14"/>
        <v>740</v>
      </c>
      <c r="S18" s="117">
        <f t="shared" si="15"/>
        <v>7470</v>
      </c>
      <c r="T18" s="117">
        <f t="shared" si="16"/>
        <v>1860</v>
      </c>
      <c r="U18" s="117"/>
      <c r="V18" s="117">
        <f t="shared" si="17"/>
        <v>31</v>
      </c>
      <c r="W18" s="117"/>
      <c r="X18">
        <f t="shared" si="18"/>
        <v>0</v>
      </c>
    </row>
    <row r="19" spans="1:24" x14ac:dyDescent="0.35">
      <c r="A19">
        <f t="shared" si="19"/>
        <v>17</v>
      </c>
      <c r="B19" s="117">
        <f t="shared" si="0"/>
        <v>1813</v>
      </c>
      <c r="C19" s="117">
        <f t="shared" si="1"/>
        <v>2947</v>
      </c>
      <c r="D19" s="117">
        <f t="shared" si="2"/>
        <v>75</v>
      </c>
      <c r="E19" s="117">
        <f t="shared" si="3"/>
        <v>3</v>
      </c>
      <c r="F19" s="117">
        <f t="shared" si="3"/>
        <v>278.3</v>
      </c>
      <c r="G19" s="117">
        <f t="shared" si="3"/>
        <v>430</v>
      </c>
      <c r="H19" s="117">
        <f t="shared" si="5"/>
        <v>277.2</v>
      </c>
      <c r="I19" s="117">
        <f t="shared" si="6"/>
        <v>315</v>
      </c>
      <c r="J19" s="117">
        <f t="shared" si="6"/>
        <v>267.5</v>
      </c>
      <c r="K19" s="117">
        <f t="shared" si="6"/>
        <v>148</v>
      </c>
      <c r="L19" s="117">
        <f t="shared" si="8"/>
        <v>22</v>
      </c>
      <c r="M19" s="117">
        <f t="shared" si="9"/>
        <v>270.10000000000002</v>
      </c>
      <c r="N19" s="117">
        <f t="shared" si="10"/>
        <v>2819</v>
      </c>
      <c r="O19" s="117">
        <f t="shared" si="11"/>
        <v>515</v>
      </c>
      <c r="P19" s="117">
        <f t="shared" si="12"/>
        <v>2200</v>
      </c>
      <c r="Q19" s="117">
        <f t="shared" si="13"/>
        <v>1577</v>
      </c>
      <c r="R19" s="117">
        <f t="shared" si="14"/>
        <v>740</v>
      </c>
      <c r="S19" s="117">
        <f t="shared" si="15"/>
        <v>7470</v>
      </c>
      <c r="T19" s="117">
        <f t="shared" si="16"/>
        <v>1860</v>
      </c>
      <c r="U19" s="117"/>
      <c r="V19" s="117">
        <f t="shared" si="17"/>
        <v>31</v>
      </c>
      <c r="W19" s="117"/>
      <c r="X19">
        <f t="shared" si="18"/>
        <v>0</v>
      </c>
    </row>
    <row r="20" spans="1:24" x14ac:dyDescent="0.35">
      <c r="A20">
        <f t="shared" si="19"/>
        <v>18</v>
      </c>
      <c r="B20" s="117">
        <f t="shared" si="0"/>
        <v>1813</v>
      </c>
      <c r="C20" s="117">
        <f t="shared" si="1"/>
        <v>2947</v>
      </c>
      <c r="D20" s="117">
        <f t="shared" si="2"/>
        <v>75</v>
      </c>
      <c r="E20" s="117">
        <f t="shared" ref="E20:G22" si="20">E19</f>
        <v>3</v>
      </c>
      <c r="F20" s="117">
        <f t="shared" si="20"/>
        <v>278.3</v>
      </c>
      <c r="G20" s="117">
        <f t="shared" si="20"/>
        <v>430</v>
      </c>
      <c r="H20" s="117">
        <f t="shared" si="5"/>
        <v>277.2</v>
      </c>
      <c r="I20" s="117">
        <f t="shared" ref="I20:K22" si="21">I19</f>
        <v>315</v>
      </c>
      <c r="J20" s="117">
        <f t="shared" si="21"/>
        <v>267.5</v>
      </c>
      <c r="K20" s="117">
        <f t="shared" si="21"/>
        <v>148</v>
      </c>
      <c r="L20" s="117">
        <f t="shared" si="8"/>
        <v>22</v>
      </c>
      <c r="M20" s="117">
        <f t="shared" si="9"/>
        <v>270.10000000000002</v>
      </c>
      <c r="N20" s="117">
        <f t="shared" si="10"/>
        <v>2819</v>
      </c>
      <c r="O20" s="117">
        <f t="shared" si="11"/>
        <v>515</v>
      </c>
      <c r="P20" s="117">
        <f t="shared" si="12"/>
        <v>2200</v>
      </c>
      <c r="Q20" s="117">
        <f t="shared" si="13"/>
        <v>1577</v>
      </c>
      <c r="R20" s="117">
        <f t="shared" si="14"/>
        <v>740</v>
      </c>
      <c r="S20" s="117">
        <f t="shared" si="15"/>
        <v>7470</v>
      </c>
      <c r="T20" s="117">
        <f t="shared" si="16"/>
        <v>1860</v>
      </c>
      <c r="U20" s="117"/>
      <c r="V20" s="117">
        <f t="shared" si="17"/>
        <v>31</v>
      </c>
      <c r="W20" s="117"/>
      <c r="X20">
        <f t="shared" si="18"/>
        <v>0</v>
      </c>
    </row>
    <row r="21" spans="1:24" x14ac:dyDescent="0.35">
      <c r="A21">
        <f t="shared" si="19"/>
        <v>19</v>
      </c>
      <c r="B21" s="117">
        <f t="shared" si="0"/>
        <v>1813</v>
      </c>
      <c r="C21" s="117">
        <f t="shared" si="1"/>
        <v>2947</v>
      </c>
      <c r="D21" s="117">
        <f t="shared" si="2"/>
        <v>75</v>
      </c>
      <c r="E21" s="117">
        <f t="shared" si="20"/>
        <v>3</v>
      </c>
      <c r="F21" s="117">
        <f t="shared" si="20"/>
        <v>278.3</v>
      </c>
      <c r="G21" s="117">
        <f t="shared" si="20"/>
        <v>430</v>
      </c>
      <c r="H21" s="117">
        <f t="shared" si="5"/>
        <v>277.2</v>
      </c>
      <c r="I21" s="117">
        <f t="shared" si="21"/>
        <v>315</v>
      </c>
      <c r="J21" s="117">
        <f t="shared" si="21"/>
        <v>267.5</v>
      </c>
      <c r="K21" s="117">
        <f t="shared" si="21"/>
        <v>148</v>
      </c>
      <c r="L21" s="117">
        <f t="shared" si="8"/>
        <v>22</v>
      </c>
      <c r="M21" s="117">
        <f t="shared" si="9"/>
        <v>270.10000000000002</v>
      </c>
      <c r="N21" s="117">
        <f t="shared" si="10"/>
        <v>2819</v>
      </c>
      <c r="O21" s="117">
        <f t="shared" si="11"/>
        <v>515</v>
      </c>
      <c r="P21" s="117">
        <f t="shared" si="12"/>
        <v>2200</v>
      </c>
      <c r="Q21" s="117">
        <f t="shared" si="13"/>
        <v>1577</v>
      </c>
      <c r="R21" s="117">
        <f t="shared" si="14"/>
        <v>740</v>
      </c>
      <c r="S21" s="117">
        <f t="shared" si="15"/>
        <v>7470</v>
      </c>
      <c r="T21" s="117">
        <f t="shared" si="16"/>
        <v>1860</v>
      </c>
      <c r="U21" s="117"/>
      <c r="V21" s="117">
        <f t="shared" si="17"/>
        <v>31</v>
      </c>
      <c r="W21" s="117"/>
      <c r="X21">
        <f t="shared" si="18"/>
        <v>0</v>
      </c>
    </row>
    <row r="22" spans="1:24" x14ac:dyDescent="0.35">
      <c r="A22">
        <f t="shared" si="19"/>
        <v>20</v>
      </c>
      <c r="B22" s="117">
        <f t="shared" si="0"/>
        <v>1813</v>
      </c>
      <c r="C22" s="117">
        <f t="shared" si="1"/>
        <v>2947</v>
      </c>
      <c r="D22" s="117">
        <f t="shared" si="2"/>
        <v>75</v>
      </c>
      <c r="E22" s="117">
        <f t="shared" si="20"/>
        <v>3</v>
      </c>
      <c r="F22" s="117">
        <f t="shared" si="20"/>
        <v>278.3</v>
      </c>
      <c r="G22" s="117">
        <f t="shared" si="20"/>
        <v>430</v>
      </c>
      <c r="H22" s="117">
        <f t="shared" si="5"/>
        <v>277.2</v>
      </c>
      <c r="I22" s="117">
        <f t="shared" si="21"/>
        <v>315</v>
      </c>
      <c r="J22" s="117">
        <f t="shared" si="21"/>
        <v>267.5</v>
      </c>
      <c r="K22" s="117">
        <f t="shared" si="21"/>
        <v>148</v>
      </c>
      <c r="L22" s="117">
        <f t="shared" si="8"/>
        <v>22</v>
      </c>
      <c r="M22" s="117">
        <f t="shared" si="9"/>
        <v>270.10000000000002</v>
      </c>
      <c r="N22" s="117">
        <f t="shared" si="10"/>
        <v>2819</v>
      </c>
      <c r="O22" s="117">
        <f t="shared" si="11"/>
        <v>515</v>
      </c>
      <c r="P22" s="117">
        <f t="shared" si="12"/>
        <v>2200</v>
      </c>
      <c r="Q22" s="117">
        <f t="shared" si="13"/>
        <v>1577</v>
      </c>
      <c r="R22" s="117">
        <f t="shared" si="14"/>
        <v>740</v>
      </c>
      <c r="S22" s="117">
        <f t="shared" si="15"/>
        <v>7470</v>
      </c>
      <c r="T22" s="117">
        <f t="shared" si="16"/>
        <v>1860</v>
      </c>
      <c r="U22" s="117"/>
      <c r="V22" s="117">
        <f t="shared" si="17"/>
        <v>31</v>
      </c>
      <c r="W22" s="117"/>
      <c r="X22">
        <f t="shared" si="18"/>
        <v>0</v>
      </c>
    </row>
    <row r="23" spans="1:24" x14ac:dyDescent="0.35">
      <c r="A23">
        <f t="shared" si="19"/>
        <v>21</v>
      </c>
      <c r="B23" s="117">
        <f t="shared" ref="B23:K27" si="22">B22</f>
        <v>1813</v>
      </c>
      <c r="C23" s="117">
        <f t="shared" si="22"/>
        <v>2947</v>
      </c>
      <c r="D23" s="117">
        <f t="shared" si="22"/>
        <v>75</v>
      </c>
      <c r="E23" s="117">
        <f t="shared" si="22"/>
        <v>3</v>
      </c>
      <c r="F23" s="117">
        <f t="shared" si="22"/>
        <v>278.3</v>
      </c>
      <c r="G23" s="117">
        <f t="shared" si="22"/>
        <v>430</v>
      </c>
      <c r="H23" s="117">
        <f t="shared" si="22"/>
        <v>277.2</v>
      </c>
      <c r="I23" s="117">
        <f t="shared" si="22"/>
        <v>315</v>
      </c>
      <c r="J23" s="117">
        <f t="shared" si="22"/>
        <v>267.5</v>
      </c>
      <c r="K23" s="117">
        <f t="shared" si="22"/>
        <v>148</v>
      </c>
      <c r="L23" s="117">
        <f t="shared" si="8"/>
        <v>22</v>
      </c>
      <c r="M23" s="117">
        <f t="shared" si="9"/>
        <v>270.10000000000002</v>
      </c>
      <c r="N23" s="117">
        <f t="shared" si="10"/>
        <v>2819</v>
      </c>
      <c r="O23" s="117">
        <f t="shared" si="11"/>
        <v>515</v>
      </c>
      <c r="P23" s="117">
        <f t="shared" si="12"/>
        <v>2200</v>
      </c>
      <c r="Q23" s="117">
        <f t="shared" si="13"/>
        <v>1577</v>
      </c>
      <c r="R23" s="117">
        <f t="shared" si="14"/>
        <v>740</v>
      </c>
      <c r="S23" s="117">
        <f t="shared" si="15"/>
        <v>7470</v>
      </c>
      <c r="T23" s="117">
        <f t="shared" si="16"/>
        <v>1860</v>
      </c>
      <c r="U23" s="117"/>
      <c r="V23" s="117">
        <f t="shared" si="17"/>
        <v>31</v>
      </c>
      <c r="W23" s="117"/>
      <c r="X23">
        <f t="shared" si="18"/>
        <v>0</v>
      </c>
    </row>
    <row r="24" spans="1:24" x14ac:dyDescent="0.35">
      <c r="A24">
        <f t="shared" si="19"/>
        <v>22</v>
      </c>
      <c r="B24" s="117">
        <f t="shared" si="22"/>
        <v>1813</v>
      </c>
      <c r="C24" s="117">
        <f t="shared" si="22"/>
        <v>2947</v>
      </c>
      <c r="D24" s="117">
        <f t="shared" si="22"/>
        <v>75</v>
      </c>
      <c r="E24" s="117">
        <f t="shared" si="22"/>
        <v>3</v>
      </c>
      <c r="F24" s="117">
        <f t="shared" si="22"/>
        <v>278.3</v>
      </c>
      <c r="G24" s="117">
        <f t="shared" si="22"/>
        <v>430</v>
      </c>
      <c r="H24" s="117">
        <f t="shared" si="22"/>
        <v>277.2</v>
      </c>
      <c r="I24" s="117">
        <f t="shared" si="22"/>
        <v>315</v>
      </c>
      <c r="J24" s="117">
        <f t="shared" si="22"/>
        <v>267.5</v>
      </c>
      <c r="K24" s="117">
        <f t="shared" si="22"/>
        <v>148</v>
      </c>
      <c r="L24" s="117">
        <f t="shared" si="8"/>
        <v>22</v>
      </c>
      <c r="M24" s="117">
        <f t="shared" si="9"/>
        <v>270.10000000000002</v>
      </c>
      <c r="N24" s="117">
        <f t="shared" si="10"/>
        <v>2819</v>
      </c>
      <c r="O24" s="117">
        <f t="shared" si="11"/>
        <v>515</v>
      </c>
      <c r="P24" s="117">
        <f t="shared" si="12"/>
        <v>2200</v>
      </c>
      <c r="Q24" s="117">
        <f t="shared" si="13"/>
        <v>1577</v>
      </c>
      <c r="R24" s="117">
        <f t="shared" si="14"/>
        <v>740</v>
      </c>
      <c r="S24" s="117">
        <f t="shared" si="15"/>
        <v>7470</v>
      </c>
      <c r="T24" s="117">
        <f t="shared" si="16"/>
        <v>1860</v>
      </c>
      <c r="U24" s="117"/>
      <c r="V24" s="117">
        <f t="shared" si="17"/>
        <v>31</v>
      </c>
      <c r="W24" s="117"/>
      <c r="X24">
        <f t="shared" si="18"/>
        <v>0</v>
      </c>
    </row>
    <row r="25" spans="1:24" x14ac:dyDescent="0.35">
      <c r="A25">
        <f t="shared" si="19"/>
        <v>23</v>
      </c>
      <c r="B25" s="117">
        <f t="shared" si="22"/>
        <v>1813</v>
      </c>
      <c r="C25" s="117">
        <f t="shared" si="22"/>
        <v>2947</v>
      </c>
      <c r="D25" s="117">
        <f t="shared" si="22"/>
        <v>75</v>
      </c>
      <c r="E25" s="117">
        <f t="shared" si="22"/>
        <v>3</v>
      </c>
      <c r="F25" s="117">
        <f t="shared" si="22"/>
        <v>278.3</v>
      </c>
      <c r="G25" s="117">
        <f t="shared" si="22"/>
        <v>430</v>
      </c>
      <c r="H25" s="117">
        <f t="shared" si="22"/>
        <v>277.2</v>
      </c>
      <c r="I25" s="117">
        <f t="shared" si="22"/>
        <v>315</v>
      </c>
      <c r="J25" s="117">
        <f t="shared" si="22"/>
        <v>267.5</v>
      </c>
      <c r="K25" s="117">
        <f t="shared" si="22"/>
        <v>148</v>
      </c>
      <c r="L25" s="117">
        <f t="shared" si="8"/>
        <v>22</v>
      </c>
      <c r="M25" s="117">
        <f t="shared" si="9"/>
        <v>270.10000000000002</v>
      </c>
      <c r="N25" s="117">
        <f t="shared" si="10"/>
        <v>2819</v>
      </c>
      <c r="O25" s="117">
        <f t="shared" si="11"/>
        <v>515</v>
      </c>
      <c r="P25" s="117">
        <f t="shared" si="12"/>
        <v>2200</v>
      </c>
      <c r="Q25" s="117">
        <f t="shared" si="13"/>
        <v>1577</v>
      </c>
      <c r="R25" s="117">
        <f t="shared" si="14"/>
        <v>740</v>
      </c>
      <c r="S25" s="117">
        <f t="shared" si="15"/>
        <v>7470</v>
      </c>
      <c r="T25" s="117">
        <f t="shared" si="16"/>
        <v>1860</v>
      </c>
      <c r="U25" s="117"/>
      <c r="V25" s="117">
        <f t="shared" si="17"/>
        <v>31</v>
      </c>
      <c r="W25" s="117"/>
      <c r="X25">
        <f t="shared" si="18"/>
        <v>0</v>
      </c>
    </row>
    <row r="26" spans="1:24" x14ac:dyDescent="0.35">
      <c r="A26">
        <f t="shared" si="19"/>
        <v>24</v>
      </c>
      <c r="B26" s="117">
        <f t="shared" si="22"/>
        <v>1813</v>
      </c>
      <c r="C26" s="117">
        <f t="shared" si="22"/>
        <v>2947</v>
      </c>
      <c r="D26" s="117">
        <f t="shared" si="22"/>
        <v>75</v>
      </c>
      <c r="E26" s="117">
        <f t="shared" si="22"/>
        <v>3</v>
      </c>
      <c r="F26" s="117">
        <f t="shared" si="22"/>
        <v>278.3</v>
      </c>
      <c r="G26" s="117">
        <f t="shared" si="22"/>
        <v>430</v>
      </c>
      <c r="H26" s="117">
        <f t="shared" si="22"/>
        <v>277.2</v>
      </c>
      <c r="I26" s="117">
        <f t="shared" si="22"/>
        <v>315</v>
      </c>
      <c r="J26" s="117">
        <f t="shared" si="22"/>
        <v>267.5</v>
      </c>
      <c r="K26" s="117">
        <f t="shared" si="22"/>
        <v>148</v>
      </c>
      <c r="L26" s="117">
        <f t="shared" si="8"/>
        <v>22</v>
      </c>
      <c r="M26" s="117">
        <f t="shared" si="9"/>
        <v>270.10000000000002</v>
      </c>
      <c r="N26" s="117">
        <f t="shared" si="10"/>
        <v>2819</v>
      </c>
      <c r="O26" s="117">
        <f t="shared" si="11"/>
        <v>515</v>
      </c>
      <c r="P26" s="117">
        <f t="shared" si="12"/>
        <v>2200</v>
      </c>
      <c r="Q26" s="117">
        <f t="shared" si="13"/>
        <v>1577</v>
      </c>
      <c r="R26" s="117">
        <f t="shared" si="14"/>
        <v>740</v>
      </c>
      <c r="S26" s="117">
        <f t="shared" si="15"/>
        <v>7470</v>
      </c>
      <c r="T26" s="117">
        <f t="shared" si="16"/>
        <v>1860</v>
      </c>
      <c r="U26" s="117"/>
      <c r="V26" s="117">
        <f t="shared" si="17"/>
        <v>31</v>
      </c>
      <c r="W26" s="117"/>
      <c r="X26">
        <f t="shared" si="18"/>
        <v>0</v>
      </c>
    </row>
    <row r="27" spans="1:24" x14ac:dyDescent="0.35">
      <c r="A27">
        <f t="shared" si="19"/>
        <v>25</v>
      </c>
      <c r="B27" s="117">
        <f t="shared" si="22"/>
        <v>1813</v>
      </c>
      <c r="C27" s="117">
        <f t="shared" si="22"/>
        <v>2947</v>
      </c>
      <c r="D27" s="117">
        <f t="shared" si="22"/>
        <v>75</v>
      </c>
      <c r="E27" s="117">
        <f t="shared" si="22"/>
        <v>3</v>
      </c>
      <c r="F27" s="117">
        <f t="shared" si="22"/>
        <v>278.3</v>
      </c>
      <c r="G27" s="117">
        <f t="shared" si="22"/>
        <v>430</v>
      </c>
      <c r="H27" s="117">
        <f t="shared" si="22"/>
        <v>277.2</v>
      </c>
      <c r="I27" s="117">
        <f t="shared" si="22"/>
        <v>315</v>
      </c>
      <c r="J27" s="117">
        <f t="shared" si="22"/>
        <v>267.5</v>
      </c>
      <c r="K27" s="117">
        <f t="shared" si="22"/>
        <v>148</v>
      </c>
      <c r="L27" s="117">
        <f t="shared" si="8"/>
        <v>22</v>
      </c>
      <c r="M27" s="117">
        <f t="shared" si="9"/>
        <v>270.10000000000002</v>
      </c>
      <c r="N27" s="117">
        <f t="shared" si="10"/>
        <v>2819</v>
      </c>
      <c r="O27" s="117">
        <f t="shared" si="11"/>
        <v>515</v>
      </c>
      <c r="P27" s="117">
        <f t="shared" si="12"/>
        <v>2200</v>
      </c>
      <c r="Q27" s="117">
        <f t="shared" si="13"/>
        <v>1577</v>
      </c>
      <c r="R27" s="117">
        <f t="shared" si="14"/>
        <v>740</v>
      </c>
      <c r="S27" s="117">
        <f t="shared" si="15"/>
        <v>7470</v>
      </c>
      <c r="T27" s="117">
        <f t="shared" si="16"/>
        <v>1860</v>
      </c>
      <c r="U27" s="117"/>
      <c r="V27" s="117">
        <f t="shared" si="17"/>
        <v>31</v>
      </c>
      <c r="W27" s="117"/>
      <c r="X27">
        <f t="shared" si="18"/>
        <v>0</v>
      </c>
    </row>
    <row r="28" spans="1:24" x14ac:dyDescent="0.35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</row>
    <row r="29" spans="1:24" x14ac:dyDescent="0.35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V29" s="117"/>
      <c r="X29">
        <f>X13</f>
        <v>0</v>
      </c>
    </row>
    <row r="30" spans="1:24" x14ac:dyDescent="0.35">
      <c r="A30" t="s">
        <v>139</v>
      </c>
      <c r="B30" s="117">
        <f>BaaN!H3</f>
        <v>10</v>
      </c>
      <c r="C30" s="117">
        <f>BaaN!H3+BaaN!H5</f>
        <v>18</v>
      </c>
      <c r="D30" s="117">
        <f>BaaN!H8</f>
        <v>1.5</v>
      </c>
      <c r="E30" s="117">
        <f>BaaN!H10</f>
        <v>0.5</v>
      </c>
      <c r="F30" s="117">
        <f>BaaN!H11</f>
        <v>1.75</v>
      </c>
      <c r="G30" s="117">
        <f>BaaN!H29</f>
        <v>3</v>
      </c>
      <c r="H30" s="117">
        <f>BaaN!H12</f>
        <v>1.5</v>
      </c>
      <c r="I30" s="117">
        <f>BaaN!H14</f>
        <v>1.75</v>
      </c>
      <c r="J30" s="117">
        <f>BaaN!H19+BaaN!H20</f>
        <v>1.75</v>
      </c>
      <c r="K30" s="117">
        <f>BaaN!H24-BaaN!H19</f>
        <v>1.75</v>
      </c>
      <c r="L30" s="117">
        <f>BaaN!H13</f>
        <v>0.33333333333333331</v>
      </c>
      <c r="M30" s="117">
        <f>BaaN!H15</f>
        <v>1.25</v>
      </c>
      <c r="N30" s="117">
        <f>BaaN!H27</f>
        <v>14</v>
      </c>
      <c r="O30" s="117">
        <f>BaaN!H21</f>
        <v>5</v>
      </c>
      <c r="P30" s="117">
        <f>BaaN!H22</f>
        <v>6</v>
      </c>
      <c r="Q30" s="117">
        <f>BaaN!H23</f>
        <v>6</v>
      </c>
      <c r="R30" s="109">
        <f>BaaN!H16</f>
        <v>1</v>
      </c>
      <c r="S30" s="109">
        <f>BaaN!H18</f>
        <v>2</v>
      </c>
      <c r="T30" s="109">
        <f>BaaN!H17</f>
        <v>1</v>
      </c>
      <c r="U30" s="109"/>
      <c r="W30" s="109"/>
      <c r="X30">
        <f t="shared" si="18"/>
        <v>0</v>
      </c>
    </row>
    <row r="31" spans="1:24" x14ac:dyDescent="0.35">
      <c r="A31">
        <v>2</v>
      </c>
      <c r="B31" s="117">
        <f t="shared" ref="B31:B49" si="23">B30</f>
        <v>10</v>
      </c>
      <c r="C31" s="117">
        <f t="shared" ref="C31:C49" si="24">C30</f>
        <v>18</v>
      </c>
      <c r="D31" s="117">
        <f t="shared" ref="D31:D49" si="25">D30</f>
        <v>1.5</v>
      </c>
      <c r="E31" s="117">
        <f t="shared" ref="E31:G46" si="26">E30</f>
        <v>0.5</v>
      </c>
      <c r="F31" s="117">
        <f t="shared" ref="F31:G40" si="27">F30</f>
        <v>1.75</v>
      </c>
      <c r="G31" s="117">
        <f t="shared" si="27"/>
        <v>3</v>
      </c>
      <c r="H31" s="117">
        <f t="shared" ref="H31:H49" si="28">H30</f>
        <v>1.5</v>
      </c>
      <c r="I31" s="117">
        <f t="shared" ref="I31:K46" si="29">I30</f>
        <v>1.75</v>
      </c>
      <c r="J31" s="117">
        <f t="shared" ref="J31:K40" si="30">J30</f>
        <v>1.75</v>
      </c>
      <c r="K31" s="117">
        <f t="shared" si="30"/>
        <v>1.75</v>
      </c>
      <c r="L31" s="117">
        <f t="shared" ref="L31:L54" si="31">L30</f>
        <v>0.33333333333333331</v>
      </c>
      <c r="M31" s="117">
        <f t="shared" ref="M31:M54" si="32">M30</f>
        <v>1.25</v>
      </c>
      <c r="N31" s="117">
        <f t="shared" ref="N31:N54" si="33">N30</f>
        <v>14</v>
      </c>
      <c r="O31" s="117">
        <f t="shared" ref="O31:O54" si="34">O30</f>
        <v>5</v>
      </c>
      <c r="P31" s="117">
        <f t="shared" ref="P31:P54" si="35">P30</f>
        <v>6</v>
      </c>
      <c r="Q31" s="117">
        <f t="shared" ref="Q31:Q54" si="36">Q30</f>
        <v>6</v>
      </c>
      <c r="R31" s="117">
        <f>R30</f>
        <v>1</v>
      </c>
      <c r="S31" s="117">
        <f>S30</f>
        <v>2</v>
      </c>
      <c r="T31" s="117">
        <f>T30</f>
        <v>1</v>
      </c>
      <c r="U31" s="117"/>
      <c r="W31" s="117"/>
      <c r="X31">
        <f t="shared" si="18"/>
        <v>0</v>
      </c>
    </row>
    <row r="32" spans="1:24" x14ac:dyDescent="0.35">
      <c r="A32">
        <f>A31+1</f>
        <v>3</v>
      </c>
      <c r="B32" s="117">
        <f t="shared" si="23"/>
        <v>10</v>
      </c>
      <c r="C32" s="117">
        <f t="shared" si="24"/>
        <v>18</v>
      </c>
      <c r="D32" s="117">
        <f t="shared" si="25"/>
        <v>1.5</v>
      </c>
      <c r="E32" s="117">
        <f t="shared" si="26"/>
        <v>0.5</v>
      </c>
      <c r="F32" s="117">
        <f t="shared" si="27"/>
        <v>1.75</v>
      </c>
      <c r="G32" s="117">
        <f t="shared" si="27"/>
        <v>3</v>
      </c>
      <c r="H32" s="117">
        <f t="shared" si="28"/>
        <v>1.5</v>
      </c>
      <c r="I32" s="117">
        <f t="shared" si="29"/>
        <v>1.75</v>
      </c>
      <c r="J32" s="117">
        <f t="shared" si="30"/>
        <v>1.75</v>
      </c>
      <c r="K32" s="117">
        <f t="shared" si="30"/>
        <v>1.75</v>
      </c>
      <c r="L32" s="117">
        <f t="shared" si="31"/>
        <v>0.33333333333333331</v>
      </c>
      <c r="M32" s="117">
        <f t="shared" si="32"/>
        <v>1.25</v>
      </c>
      <c r="N32" s="117">
        <f t="shared" si="33"/>
        <v>14</v>
      </c>
      <c r="O32" s="117">
        <f t="shared" si="34"/>
        <v>5</v>
      </c>
      <c r="P32" s="117">
        <f t="shared" si="35"/>
        <v>6</v>
      </c>
      <c r="Q32" s="117">
        <f t="shared" si="36"/>
        <v>6</v>
      </c>
      <c r="R32" s="117">
        <f t="shared" ref="R32:R54" si="37">R31</f>
        <v>1</v>
      </c>
      <c r="S32" s="117">
        <f t="shared" ref="S32:S54" si="38">S31</f>
        <v>2</v>
      </c>
      <c r="T32" s="117">
        <f t="shared" ref="T32:T54" si="39">T31</f>
        <v>1</v>
      </c>
      <c r="U32" s="117"/>
      <c r="W32" s="117"/>
      <c r="X32">
        <f t="shared" si="18"/>
        <v>0</v>
      </c>
    </row>
    <row r="33" spans="1:24" x14ac:dyDescent="0.35">
      <c r="A33">
        <f t="shared" ref="A33:A54" si="40">A32+1</f>
        <v>4</v>
      </c>
      <c r="B33" s="117">
        <f t="shared" si="23"/>
        <v>10</v>
      </c>
      <c r="C33" s="117">
        <f t="shared" si="24"/>
        <v>18</v>
      </c>
      <c r="D33" s="117">
        <f t="shared" si="25"/>
        <v>1.5</v>
      </c>
      <c r="E33" s="117">
        <f t="shared" si="26"/>
        <v>0.5</v>
      </c>
      <c r="F33" s="117">
        <f t="shared" si="27"/>
        <v>1.75</v>
      </c>
      <c r="G33" s="117">
        <f t="shared" si="27"/>
        <v>3</v>
      </c>
      <c r="H33" s="117">
        <f t="shared" si="28"/>
        <v>1.5</v>
      </c>
      <c r="I33" s="117">
        <f t="shared" si="29"/>
        <v>1.75</v>
      </c>
      <c r="J33" s="117">
        <f t="shared" si="30"/>
        <v>1.75</v>
      </c>
      <c r="K33" s="117">
        <f t="shared" si="30"/>
        <v>1.75</v>
      </c>
      <c r="L33" s="117">
        <f t="shared" si="31"/>
        <v>0.33333333333333331</v>
      </c>
      <c r="M33" s="117">
        <f t="shared" si="32"/>
        <v>1.25</v>
      </c>
      <c r="N33" s="117">
        <f t="shared" si="33"/>
        <v>14</v>
      </c>
      <c r="O33" s="117">
        <f t="shared" si="34"/>
        <v>5</v>
      </c>
      <c r="P33" s="117">
        <f t="shared" si="35"/>
        <v>6</v>
      </c>
      <c r="Q33" s="117">
        <f t="shared" si="36"/>
        <v>6</v>
      </c>
      <c r="R33" s="117">
        <f t="shared" si="37"/>
        <v>1</v>
      </c>
      <c r="S33" s="117">
        <f t="shared" si="38"/>
        <v>2</v>
      </c>
      <c r="T33" s="117">
        <f t="shared" si="39"/>
        <v>1</v>
      </c>
      <c r="U33" s="117"/>
      <c r="W33" s="117"/>
      <c r="X33">
        <f t="shared" si="18"/>
        <v>0</v>
      </c>
    </row>
    <row r="34" spans="1:24" x14ac:dyDescent="0.35">
      <c r="A34">
        <f t="shared" si="40"/>
        <v>5</v>
      </c>
      <c r="B34" s="117">
        <f t="shared" si="23"/>
        <v>10</v>
      </c>
      <c r="C34" s="117">
        <f t="shared" si="24"/>
        <v>18</v>
      </c>
      <c r="D34" s="117">
        <f t="shared" si="25"/>
        <v>1.5</v>
      </c>
      <c r="E34" s="117">
        <f t="shared" si="26"/>
        <v>0.5</v>
      </c>
      <c r="F34" s="117">
        <f t="shared" si="27"/>
        <v>1.75</v>
      </c>
      <c r="G34" s="117">
        <f t="shared" si="27"/>
        <v>3</v>
      </c>
      <c r="H34" s="117">
        <f t="shared" si="28"/>
        <v>1.5</v>
      </c>
      <c r="I34" s="117">
        <f t="shared" si="29"/>
        <v>1.75</v>
      </c>
      <c r="J34" s="117">
        <f t="shared" si="30"/>
        <v>1.75</v>
      </c>
      <c r="K34" s="117">
        <f t="shared" si="30"/>
        <v>1.75</v>
      </c>
      <c r="L34" s="117">
        <f t="shared" si="31"/>
        <v>0.33333333333333331</v>
      </c>
      <c r="M34" s="117">
        <f t="shared" si="32"/>
        <v>1.25</v>
      </c>
      <c r="N34" s="117">
        <f t="shared" si="33"/>
        <v>14</v>
      </c>
      <c r="O34" s="117">
        <f t="shared" si="34"/>
        <v>5</v>
      </c>
      <c r="P34" s="117">
        <f t="shared" si="35"/>
        <v>6</v>
      </c>
      <c r="Q34" s="117">
        <f t="shared" si="36"/>
        <v>6</v>
      </c>
      <c r="R34" s="117">
        <f t="shared" si="37"/>
        <v>1</v>
      </c>
      <c r="S34" s="117">
        <f t="shared" si="38"/>
        <v>2</v>
      </c>
      <c r="T34" s="117">
        <f t="shared" si="39"/>
        <v>1</v>
      </c>
      <c r="U34" s="117"/>
      <c r="W34" s="117"/>
      <c r="X34">
        <f t="shared" si="18"/>
        <v>0</v>
      </c>
    </row>
    <row r="35" spans="1:24" x14ac:dyDescent="0.35">
      <c r="A35">
        <f t="shared" si="40"/>
        <v>6</v>
      </c>
      <c r="B35" s="117">
        <f t="shared" si="23"/>
        <v>10</v>
      </c>
      <c r="C35" s="117">
        <f t="shared" si="24"/>
        <v>18</v>
      </c>
      <c r="D35" s="117">
        <f t="shared" si="25"/>
        <v>1.5</v>
      </c>
      <c r="E35" s="117">
        <f t="shared" si="26"/>
        <v>0.5</v>
      </c>
      <c r="F35" s="117">
        <f t="shared" si="27"/>
        <v>1.75</v>
      </c>
      <c r="G35" s="117">
        <f t="shared" si="27"/>
        <v>3</v>
      </c>
      <c r="H35" s="117">
        <f t="shared" si="28"/>
        <v>1.5</v>
      </c>
      <c r="I35" s="117">
        <f t="shared" si="29"/>
        <v>1.75</v>
      </c>
      <c r="J35" s="117">
        <f t="shared" si="30"/>
        <v>1.75</v>
      </c>
      <c r="K35" s="117">
        <f t="shared" si="30"/>
        <v>1.75</v>
      </c>
      <c r="L35" s="117">
        <f t="shared" si="31"/>
        <v>0.33333333333333331</v>
      </c>
      <c r="M35" s="117">
        <f t="shared" si="32"/>
        <v>1.25</v>
      </c>
      <c r="N35" s="117">
        <f t="shared" si="33"/>
        <v>14</v>
      </c>
      <c r="O35" s="117">
        <f t="shared" si="34"/>
        <v>5</v>
      </c>
      <c r="P35" s="117">
        <f t="shared" si="35"/>
        <v>6</v>
      </c>
      <c r="Q35" s="117">
        <f t="shared" si="36"/>
        <v>6</v>
      </c>
      <c r="R35" s="117">
        <f t="shared" si="37"/>
        <v>1</v>
      </c>
      <c r="S35" s="117">
        <f t="shared" si="38"/>
        <v>2</v>
      </c>
      <c r="T35" s="117">
        <f t="shared" si="39"/>
        <v>1</v>
      </c>
      <c r="U35" s="117"/>
      <c r="W35" s="117"/>
      <c r="X35">
        <f t="shared" si="18"/>
        <v>0</v>
      </c>
    </row>
    <row r="36" spans="1:24" x14ac:dyDescent="0.35">
      <c r="A36">
        <f t="shared" si="40"/>
        <v>7</v>
      </c>
      <c r="B36" s="117">
        <f t="shared" si="23"/>
        <v>10</v>
      </c>
      <c r="C36" s="117">
        <f t="shared" si="24"/>
        <v>18</v>
      </c>
      <c r="D36" s="117">
        <f t="shared" si="25"/>
        <v>1.5</v>
      </c>
      <c r="E36" s="117">
        <f t="shared" si="26"/>
        <v>0.5</v>
      </c>
      <c r="F36" s="117">
        <f t="shared" si="27"/>
        <v>1.75</v>
      </c>
      <c r="G36" s="117">
        <f t="shared" si="27"/>
        <v>3</v>
      </c>
      <c r="H36" s="117">
        <f t="shared" si="28"/>
        <v>1.5</v>
      </c>
      <c r="I36" s="117">
        <f t="shared" si="29"/>
        <v>1.75</v>
      </c>
      <c r="J36" s="117">
        <f t="shared" si="30"/>
        <v>1.75</v>
      </c>
      <c r="K36" s="117">
        <f t="shared" si="30"/>
        <v>1.75</v>
      </c>
      <c r="L36" s="117">
        <f t="shared" si="31"/>
        <v>0.33333333333333331</v>
      </c>
      <c r="M36" s="117">
        <f t="shared" si="32"/>
        <v>1.25</v>
      </c>
      <c r="N36" s="117">
        <f t="shared" si="33"/>
        <v>14</v>
      </c>
      <c r="O36" s="117">
        <f t="shared" si="34"/>
        <v>5</v>
      </c>
      <c r="P36" s="117">
        <f t="shared" si="35"/>
        <v>6</v>
      </c>
      <c r="Q36" s="117">
        <f t="shared" si="36"/>
        <v>6</v>
      </c>
      <c r="R36" s="117">
        <f t="shared" si="37"/>
        <v>1</v>
      </c>
      <c r="S36" s="117">
        <f t="shared" si="38"/>
        <v>2</v>
      </c>
      <c r="T36" s="117">
        <f t="shared" si="39"/>
        <v>1</v>
      </c>
      <c r="U36" s="117"/>
      <c r="W36" s="117"/>
      <c r="X36">
        <f t="shared" si="18"/>
        <v>0</v>
      </c>
    </row>
    <row r="37" spans="1:24" x14ac:dyDescent="0.35">
      <c r="A37">
        <f t="shared" si="40"/>
        <v>8</v>
      </c>
      <c r="B37" s="117">
        <f t="shared" si="23"/>
        <v>10</v>
      </c>
      <c r="C37" s="117">
        <f t="shared" si="24"/>
        <v>18</v>
      </c>
      <c r="D37" s="117">
        <f t="shared" si="25"/>
        <v>1.5</v>
      </c>
      <c r="E37" s="117">
        <f t="shared" si="26"/>
        <v>0.5</v>
      </c>
      <c r="F37" s="117">
        <f t="shared" si="27"/>
        <v>1.75</v>
      </c>
      <c r="G37" s="117">
        <f t="shared" si="27"/>
        <v>3</v>
      </c>
      <c r="H37" s="117">
        <f t="shared" si="28"/>
        <v>1.5</v>
      </c>
      <c r="I37" s="117">
        <f t="shared" si="29"/>
        <v>1.75</v>
      </c>
      <c r="J37" s="117">
        <f t="shared" si="30"/>
        <v>1.75</v>
      </c>
      <c r="K37" s="117">
        <f t="shared" si="30"/>
        <v>1.75</v>
      </c>
      <c r="L37" s="117">
        <f t="shared" si="31"/>
        <v>0.33333333333333331</v>
      </c>
      <c r="M37" s="117">
        <f t="shared" si="32"/>
        <v>1.25</v>
      </c>
      <c r="N37" s="117">
        <f t="shared" si="33"/>
        <v>14</v>
      </c>
      <c r="O37" s="117">
        <f t="shared" si="34"/>
        <v>5</v>
      </c>
      <c r="P37" s="117">
        <f t="shared" si="35"/>
        <v>6</v>
      </c>
      <c r="Q37" s="117">
        <f t="shared" si="36"/>
        <v>6</v>
      </c>
      <c r="R37" s="117">
        <f t="shared" si="37"/>
        <v>1</v>
      </c>
      <c r="S37" s="117">
        <f t="shared" si="38"/>
        <v>2</v>
      </c>
      <c r="T37" s="117">
        <f t="shared" si="39"/>
        <v>1</v>
      </c>
      <c r="U37" s="117"/>
      <c r="W37" s="117"/>
      <c r="X37">
        <f t="shared" si="18"/>
        <v>0</v>
      </c>
    </row>
    <row r="38" spans="1:24" x14ac:dyDescent="0.35">
      <c r="A38">
        <f t="shared" si="40"/>
        <v>9</v>
      </c>
      <c r="B38" s="117">
        <f t="shared" si="23"/>
        <v>10</v>
      </c>
      <c r="C38" s="117">
        <f t="shared" si="24"/>
        <v>18</v>
      </c>
      <c r="D38" s="117">
        <f t="shared" si="25"/>
        <v>1.5</v>
      </c>
      <c r="E38" s="117">
        <f t="shared" si="26"/>
        <v>0.5</v>
      </c>
      <c r="F38" s="117">
        <f t="shared" si="27"/>
        <v>1.75</v>
      </c>
      <c r="G38" s="117">
        <f t="shared" si="27"/>
        <v>3</v>
      </c>
      <c r="H38" s="117">
        <f t="shared" si="28"/>
        <v>1.5</v>
      </c>
      <c r="I38" s="117">
        <f t="shared" si="29"/>
        <v>1.75</v>
      </c>
      <c r="J38" s="117">
        <f t="shared" si="30"/>
        <v>1.75</v>
      </c>
      <c r="K38" s="117">
        <f t="shared" si="30"/>
        <v>1.75</v>
      </c>
      <c r="L38" s="117">
        <f t="shared" si="31"/>
        <v>0.33333333333333331</v>
      </c>
      <c r="M38" s="117">
        <f t="shared" si="32"/>
        <v>1.25</v>
      </c>
      <c r="N38" s="117">
        <f t="shared" si="33"/>
        <v>14</v>
      </c>
      <c r="O38" s="117">
        <f t="shared" si="34"/>
        <v>5</v>
      </c>
      <c r="P38" s="117">
        <f t="shared" si="35"/>
        <v>6</v>
      </c>
      <c r="Q38" s="117">
        <f t="shared" si="36"/>
        <v>6</v>
      </c>
      <c r="R38" s="117">
        <f t="shared" si="37"/>
        <v>1</v>
      </c>
      <c r="S38" s="117">
        <f t="shared" si="38"/>
        <v>2</v>
      </c>
      <c r="T38" s="117">
        <f t="shared" si="39"/>
        <v>1</v>
      </c>
      <c r="U38" s="117"/>
      <c r="W38" s="117"/>
      <c r="X38">
        <f t="shared" si="18"/>
        <v>0</v>
      </c>
    </row>
    <row r="39" spans="1:24" x14ac:dyDescent="0.35">
      <c r="A39">
        <f t="shared" si="40"/>
        <v>10</v>
      </c>
      <c r="B39" s="117">
        <f t="shared" si="23"/>
        <v>10</v>
      </c>
      <c r="C39" s="117">
        <f t="shared" si="24"/>
        <v>18</v>
      </c>
      <c r="D39" s="117">
        <f t="shared" si="25"/>
        <v>1.5</v>
      </c>
      <c r="E39" s="117">
        <f t="shared" si="26"/>
        <v>0.5</v>
      </c>
      <c r="F39" s="117">
        <f t="shared" si="27"/>
        <v>1.75</v>
      </c>
      <c r="G39" s="117">
        <f t="shared" si="27"/>
        <v>3</v>
      </c>
      <c r="H39" s="117">
        <f t="shared" si="28"/>
        <v>1.5</v>
      </c>
      <c r="I39" s="117">
        <f t="shared" si="29"/>
        <v>1.75</v>
      </c>
      <c r="J39" s="117">
        <f t="shared" si="30"/>
        <v>1.75</v>
      </c>
      <c r="K39" s="117">
        <f t="shared" si="30"/>
        <v>1.75</v>
      </c>
      <c r="L39" s="117">
        <f t="shared" si="31"/>
        <v>0.33333333333333331</v>
      </c>
      <c r="M39" s="117">
        <f t="shared" si="32"/>
        <v>1.25</v>
      </c>
      <c r="N39" s="117">
        <f t="shared" si="33"/>
        <v>14</v>
      </c>
      <c r="O39" s="117">
        <f t="shared" si="34"/>
        <v>5</v>
      </c>
      <c r="P39" s="117">
        <f t="shared" si="35"/>
        <v>6</v>
      </c>
      <c r="Q39" s="117">
        <f t="shared" si="36"/>
        <v>6</v>
      </c>
      <c r="R39" s="117">
        <f t="shared" si="37"/>
        <v>1</v>
      </c>
      <c r="S39" s="117">
        <f t="shared" si="38"/>
        <v>2</v>
      </c>
      <c r="T39" s="117">
        <f t="shared" si="39"/>
        <v>1</v>
      </c>
      <c r="U39" s="117"/>
      <c r="W39" s="117"/>
      <c r="X39">
        <f t="shared" si="18"/>
        <v>0</v>
      </c>
    </row>
    <row r="40" spans="1:24" x14ac:dyDescent="0.35">
      <c r="A40">
        <f t="shared" si="40"/>
        <v>11</v>
      </c>
      <c r="B40" s="117">
        <f t="shared" si="23"/>
        <v>10</v>
      </c>
      <c r="C40" s="117">
        <f t="shared" si="24"/>
        <v>18</v>
      </c>
      <c r="D40" s="117">
        <f t="shared" si="25"/>
        <v>1.5</v>
      </c>
      <c r="E40" s="117">
        <f t="shared" si="26"/>
        <v>0.5</v>
      </c>
      <c r="F40" s="117">
        <f t="shared" si="27"/>
        <v>1.75</v>
      </c>
      <c r="G40" s="117">
        <f t="shared" si="27"/>
        <v>3</v>
      </c>
      <c r="H40" s="117">
        <f t="shared" si="28"/>
        <v>1.5</v>
      </c>
      <c r="I40" s="117">
        <f t="shared" si="29"/>
        <v>1.75</v>
      </c>
      <c r="J40" s="117">
        <f t="shared" si="30"/>
        <v>1.75</v>
      </c>
      <c r="K40" s="117">
        <f t="shared" si="30"/>
        <v>1.75</v>
      </c>
      <c r="L40" s="117">
        <f t="shared" si="31"/>
        <v>0.33333333333333331</v>
      </c>
      <c r="M40" s="117">
        <f t="shared" si="32"/>
        <v>1.25</v>
      </c>
      <c r="N40" s="117">
        <f t="shared" si="33"/>
        <v>14</v>
      </c>
      <c r="O40" s="117">
        <f t="shared" si="34"/>
        <v>5</v>
      </c>
      <c r="P40" s="117">
        <f t="shared" si="35"/>
        <v>6</v>
      </c>
      <c r="Q40" s="117">
        <f t="shared" si="36"/>
        <v>6</v>
      </c>
      <c r="R40" s="117">
        <f t="shared" si="37"/>
        <v>1</v>
      </c>
      <c r="S40" s="117">
        <f t="shared" si="38"/>
        <v>2</v>
      </c>
      <c r="T40" s="117">
        <f t="shared" si="39"/>
        <v>1</v>
      </c>
      <c r="U40" s="117"/>
      <c r="W40" s="117"/>
      <c r="X40">
        <f t="shared" si="18"/>
        <v>0</v>
      </c>
    </row>
    <row r="41" spans="1:24" x14ac:dyDescent="0.35">
      <c r="A41">
        <f t="shared" si="40"/>
        <v>12</v>
      </c>
      <c r="B41" s="117">
        <f t="shared" si="23"/>
        <v>10</v>
      </c>
      <c r="C41" s="117">
        <f t="shared" si="24"/>
        <v>18</v>
      </c>
      <c r="D41" s="117">
        <f t="shared" si="25"/>
        <v>1.5</v>
      </c>
      <c r="E41" s="117">
        <f t="shared" si="26"/>
        <v>0.5</v>
      </c>
      <c r="F41" s="117">
        <f t="shared" si="26"/>
        <v>1.75</v>
      </c>
      <c r="G41" s="117">
        <f t="shared" si="26"/>
        <v>3</v>
      </c>
      <c r="H41" s="117">
        <f t="shared" si="28"/>
        <v>1.5</v>
      </c>
      <c r="I41" s="117">
        <f t="shared" si="29"/>
        <v>1.75</v>
      </c>
      <c r="J41" s="117">
        <f t="shared" si="29"/>
        <v>1.75</v>
      </c>
      <c r="K41" s="117">
        <f t="shared" si="29"/>
        <v>1.75</v>
      </c>
      <c r="L41" s="117">
        <f t="shared" si="31"/>
        <v>0.33333333333333331</v>
      </c>
      <c r="M41" s="117">
        <f t="shared" si="32"/>
        <v>1.25</v>
      </c>
      <c r="N41" s="117">
        <f t="shared" si="33"/>
        <v>14</v>
      </c>
      <c r="O41" s="117">
        <f t="shared" si="34"/>
        <v>5</v>
      </c>
      <c r="P41" s="117">
        <f t="shared" si="35"/>
        <v>6</v>
      </c>
      <c r="Q41" s="117">
        <f t="shared" si="36"/>
        <v>6</v>
      </c>
      <c r="R41" s="117">
        <f t="shared" si="37"/>
        <v>1</v>
      </c>
      <c r="S41" s="117">
        <f t="shared" si="38"/>
        <v>2</v>
      </c>
      <c r="T41" s="117">
        <f t="shared" si="39"/>
        <v>1</v>
      </c>
      <c r="U41" s="117"/>
      <c r="W41" s="117"/>
      <c r="X41">
        <f t="shared" si="18"/>
        <v>0</v>
      </c>
    </row>
    <row r="42" spans="1:24" x14ac:dyDescent="0.35">
      <c r="A42">
        <f t="shared" si="40"/>
        <v>13</v>
      </c>
      <c r="B42" s="117">
        <f t="shared" si="23"/>
        <v>10</v>
      </c>
      <c r="C42" s="117">
        <f t="shared" si="24"/>
        <v>18</v>
      </c>
      <c r="D42" s="117">
        <f t="shared" si="25"/>
        <v>1.5</v>
      </c>
      <c r="E42" s="117">
        <f t="shared" si="26"/>
        <v>0.5</v>
      </c>
      <c r="F42" s="117">
        <f t="shared" si="26"/>
        <v>1.75</v>
      </c>
      <c r="G42" s="117">
        <f t="shared" si="26"/>
        <v>3</v>
      </c>
      <c r="H42" s="117">
        <f t="shared" si="28"/>
        <v>1.5</v>
      </c>
      <c r="I42" s="117">
        <f t="shared" si="29"/>
        <v>1.75</v>
      </c>
      <c r="J42" s="117">
        <f t="shared" si="29"/>
        <v>1.75</v>
      </c>
      <c r="K42" s="117">
        <f t="shared" si="29"/>
        <v>1.75</v>
      </c>
      <c r="L42" s="117">
        <f t="shared" si="31"/>
        <v>0.33333333333333331</v>
      </c>
      <c r="M42" s="117">
        <f t="shared" si="32"/>
        <v>1.25</v>
      </c>
      <c r="N42" s="117">
        <f t="shared" si="33"/>
        <v>14</v>
      </c>
      <c r="O42" s="117">
        <f t="shared" si="34"/>
        <v>5</v>
      </c>
      <c r="P42" s="117">
        <f t="shared" si="35"/>
        <v>6</v>
      </c>
      <c r="Q42" s="117">
        <f t="shared" si="36"/>
        <v>6</v>
      </c>
      <c r="R42" s="117">
        <f t="shared" si="37"/>
        <v>1</v>
      </c>
      <c r="S42" s="117">
        <f t="shared" si="38"/>
        <v>2</v>
      </c>
      <c r="T42" s="117">
        <f t="shared" si="39"/>
        <v>1</v>
      </c>
      <c r="U42" s="117"/>
      <c r="W42" s="117"/>
      <c r="X42">
        <f t="shared" si="18"/>
        <v>0</v>
      </c>
    </row>
    <row r="43" spans="1:24" x14ac:dyDescent="0.35">
      <c r="A43">
        <f t="shared" si="40"/>
        <v>14</v>
      </c>
      <c r="B43" s="117">
        <f t="shared" si="23"/>
        <v>10</v>
      </c>
      <c r="C43" s="117">
        <f t="shared" si="24"/>
        <v>18</v>
      </c>
      <c r="D43" s="117">
        <f t="shared" si="25"/>
        <v>1.5</v>
      </c>
      <c r="E43" s="117">
        <f t="shared" si="26"/>
        <v>0.5</v>
      </c>
      <c r="F43" s="117">
        <f t="shared" si="26"/>
        <v>1.75</v>
      </c>
      <c r="G43" s="117">
        <f t="shared" si="26"/>
        <v>3</v>
      </c>
      <c r="H43" s="117">
        <f t="shared" si="28"/>
        <v>1.5</v>
      </c>
      <c r="I43" s="117">
        <f t="shared" si="29"/>
        <v>1.75</v>
      </c>
      <c r="J43" s="117">
        <f t="shared" si="29"/>
        <v>1.75</v>
      </c>
      <c r="K43" s="117">
        <f t="shared" si="29"/>
        <v>1.75</v>
      </c>
      <c r="L43" s="117">
        <f t="shared" si="31"/>
        <v>0.33333333333333331</v>
      </c>
      <c r="M43" s="117">
        <f t="shared" si="32"/>
        <v>1.25</v>
      </c>
      <c r="N43" s="117">
        <f t="shared" si="33"/>
        <v>14</v>
      </c>
      <c r="O43" s="117">
        <f t="shared" si="34"/>
        <v>5</v>
      </c>
      <c r="P43" s="117">
        <f t="shared" si="35"/>
        <v>6</v>
      </c>
      <c r="Q43" s="117">
        <f t="shared" si="36"/>
        <v>6</v>
      </c>
      <c r="R43" s="117">
        <f t="shared" si="37"/>
        <v>1</v>
      </c>
      <c r="S43" s="117">
        <f t="shared" si="38"/>
        <v>2</v>
      </c>
      <c r="T43" s="117">
        <f t="shared" si="39"/>
        <v>1</v>
      </c>
      <c r="U43" s="117"/>
      <c r="W43" s="117"/>
      <c r="X43">
        <f t="shared" si="18"/>
        <v>0</v>
      </c>
    </row>
    <row r="44" spans="1:24" x14ac:dyDescent="0.35">
      <c r="A44">
        <f t="shared" si="40"/>
        <v>15</v>
      </c>
      <c r="B44" s="117">
        <f t="shared" si="23"/>
        <v>10</v>
      </c>
      <c r="C44" s="117">
        <f t="shared" si="24"/>
        <v>18</v>
      </c>
      <c r="D44" s="117">
        <f t="shared" si="25"/>
        <v>1.5</v>
      </c>
      <c r="E44" s="117">
        <f t="shared" si="26"/>
        <v>0.5</v>
      </c>
      <c r="F44" s="117">
        <f t="shared" si="26"/>
        <v>1.75</v>
      </c>
      <c r="G44" s="117">
        <f t="shared" si="26"/>
        <v>3</v>
      </c>
      <c r="H44" s="117">
        <f t="shared" si="28"/>
        <v>1.5</v>
      </c>
      <c r="I44" s="117">
        <f t="shared" si="29"/>
        <v>1.75</v>
      </c>
      <c r="J44" s="117">
        <f t="shared" si="29"/>
        <v>1.75</v>
      </c>
      <c r="K44" s="117">
        <f t="shared" si="29"/>
        <v>1.75</v>
      </c>
      <c r="L44" s="117">
        <f t="shared" si="31"/>
        <v>0.33333333333333331</v>
      </c>
      <c r="M44" s="117">
        <f t="shared" si="32"/>
        <v>1.25</v>
      </c>
      <c r="N44" s="117">
        <f t="shared" si="33"/>
        <v>14</v>
      </c>
      <c r="O44" s="117">
        <f t="shared" si="34"/>
        <v>5</v>
      </c>
      <c r="P44" s="117">
        <f t="shared" si="35"/>
        <v>6</v>
      </c>
      <c r="Q44" s="117">
        <f t="shared" si="36"/>
        <v>6</v>
      </c>
      <c r="R44" s="117">
        <f t="shared" si="37"/>
        <v>1</v>
      </c>
      <c r="S44" s="117">
        <f t="shared" si="38"/>
        <v>2</v>
      </c>
      <c r="T44" s="117">
        <f t="shared" si="39"/>
        <v>1</v>
      </c>
      <c r="U44" s="117"/>
      <c r="W44" s="117"/>
      <c r="X44">
        <f t="shared" si="18"/>
        <v>0</v>
      </c>
    </row>
    <row r="45" spans="1:24" x14ac:dyDescent="0.35">
      <c r="A45">
        <f t="shared" si="40"/>
        <v>16</v>
      </c>
      <c r="B45" s="117">
        <f t="shared" si="23"/>
        <v>10</v>
      </c>
      <c r="C45" s="117">
        <f t="shared" si="24"/>
        <v>18</v>
      </c>
      <c r="D45" s="117">
        <f t="shared" si="25"/>
        <v>1.5</v>
      </c>
      <c r="E45" s="117">
        <f t="shared" si="26"/>
        <v>0.5</v>
      </c>
      <c r="F45" s="117">
        <f t="shared" si="26"/>
        <v>1.75</v>
      </c>
      <c r="G45" s="117">
        <f t="shared" si="26"/>
        <v>3</v>
      </c>
      <c r="H45" s="117">
        <f t="shared" si="28"/>
        <v>1.5</v>
      </c>
      <c r="I45" s="117">
        <f t="shared" si="29"/>
        <v>1.75</v>
      </c>
      <c r="J45" s="117">
        <f t="shared" si="29"/>
        <v>1.75</v>
      </c>
      <c r="K45" s="117">
        <f t="shared" si="29"/>
        <v>1.75</v>
      </c>
      <c r="L45" s="117">
        <f t="shared" si="31"/>
        <v>0.33333333333333331</v>
      </c>
      <c r="M45" s="117">
        <f t="shared" si="32"/>
        <v>1.25</v>
      </c>
      <c r="N45" s="117">
        <f t="shared" si="33"/>
        <v>14</v>
      </c>
      <c r="O45" s="117">
        <f t="shared" si="34"/>
        <v>5</v>
      </c>
      <c r="P45" s="117">
        <f t="shared" si="35"/>
        <v>6</v>
      </c>
      <c r="Q45" s="117">
        <f t="shared" si="36"/>
        <v>6</v>
      </c>
      <c r="R45" s="117">
        <f t="shared" si="37"/>
        <v>1</v>
      </c>
      <c r="S45" s="117">
        <f t="shared" si="38"/>
        <v>2</v>
      </c>
      <c r="T45" s="117">
        <f t="shared" si="39"/>
        <v>1</v>
      </c>
      <c r="U45" s="117"/>
      <c r="W45" s="117"/>
      <c r="X45">
        <f t="shared" si="18"/>
        <v>0</v>
      </c>
    </row>
    <row r="46" spans="1:24" x14ac:dyDescent="0.35">
      <c r="A46">
        <f t="shared" si="40"/>
        <v>17</v>
      </c>
      <c r="B46" s="117">
        <f t="shared" si="23"/>
        <v>10</v>
      </c>
      <c r="C46" s="117">
        <f t="shared" si="24"/>
        <v>18</v>
      </c>
      <c r="D46" s="117">
        <f t="shared" si="25"/>
        <v>1.5</v>
      </c>
      <c r="E46" s="117">
        <f t="shared" si="26"/>
        <v>0.5</v>
      </c>
      <c r="F46" s="117">
        <f t="shared" si="26"/>
        <v>1.75</v>
      </c>
      <c r="G46" s="117">
        <f t="shared" si="26"/>
        <v>3</v>
      </c>
      <c r="H46" s="117">
        <f t="shared" si="28"/>
        <v>1.5</v>
      </c>
      <c r="I46" s="117">
        <f t="shared" si="29"/>
        <v>1.75</v>
      </c>
      <c r="J46" s="117">
        <f t="shared" si="29"/>
        <v>1.75</v>
      </c>
      <c r="K46" s="117">
        <f t="shared" si="29"/>
        <v>1.75</v>
      </c>
      <c r="L46" s="117">
        <f t="shared" si="31"/>
        <v>0.33333333333333331</v>
      </c>
      <c r="M46" s="117">
        <f t="shared" si="32"/>
        <v>1.25</v>
      </c>
      <c r="N46" s="117">
        <f t="shared" si="33"/>
        <v>14</v>
      </c>
      <c r="O46" s="117">
        <f t="shared" si="34"/>
        <v>5</v>
      </c>
      <c r="P46" s="117">
        <f t="shared" si="35"/>
        <v>6</v>
      </c>
      <c r="Q46" s="117">
        <f t="shared" si="36"/>
        <v>6</v>
      </c>
      <c r="R46" s="117">
        <f t="shared" si="37"/>
        <v>1</v>
      </c>
      <c r="S46" s="117">
        <f t="shared" si="38"/>
        <v>2</v>
      </c>
      <c r="T46" s="117">
        <f t="shared" si="39"/>
        <v>1</v>
      </c>
      <c r="U46" s="117"/>
      <c r="W46" s="117"/>
      <c r="X46">
        <f t="shared" si="18"/>
        <v>0</v>
      </c>
    </row>
    <row r="47" spans="1:24" x14ac:dyDescent="0.35">
      <c r="A47">
        <f t="shared" si="40"/>
        <v>18</v>
      </c>
      <c r="B47" s="117">
        <f t="shared" si="23"/>
        <v>10</v>
      </c>
      <c r="C47" s="117">
        <f t="shared" si="24"/>
        <v>18</v>
      </c>
      <c r="D47" s="117">
        <f t="shared" si="25"/>
        <v>1.5</v>
      </c>
      <c r="E47" s="117">
        <f t="shared" ref="E47:G49" si="41">E46</f>
        <v>0.5</v>
      </c>
      <c r="F47" s="117">
        <f t="shared" si="41"/>
        <v>1.75</v>
      </c>
      <c r="G47" s="117">
        <f t="shared" si="41"/>
        <v>3</v>
      </c>
      <c r="H47" s="117">
        <f t="shared" si="28"/>
        <v>1.5</v>
      </c>
      <c r="I47" s="117">
        <f t="shared" ref="I47:K49" si="42">I46</f>
        <v>1.75</v>
      </c>
      <c r="J47" s="117">
        <f t="shared" si="42"/>
        <v>1.75</v>
      </c>
      <c r="K47" s="117">
        <f t="shared" si="42"/>
        <v>1.75</v>
      </c>
      <c r="L47" s="117">
        <f t="shared" si="31"/>
        <v>0.33333333333333331</v>
      </c>
      <c r="M47" s="117">
        <f t="shared" si="32"/>
        <v>1.25</v>
      </c>
      <c r="N47" s="117">
        <f t="shared" si="33"/>
        <v>14</v>
      </c>
      <c r="O47" s="117">
        <f t="shared" si="34"/>
        <v>5</v>
      </c>
      <c r="P47" s="117">
        <f t="shared" si="35"/>
        <v>6</v>
      </c>
      <c r="Q47" s="117">
        <f t="shared" si="36"/>
        <v>6</v>
      </c>
      <c r="R47" s="117">
        <f t="shared" si="37"/>
        <v>1</v>
      </c>
      <c r="S47" s="117">
        <f t="shared" si="38"/>
        <v>2</v>
      </c>
      <c r="T47" s="117">
        <f t="shared" si="39"/>
        <v>1</v>
      </c>
      <c r="U47" s="117"/>
      <c r="W47" s="117"/>
      <c r="X47">
        <f t="shared" si="18"/>
        <v>0</v>
      </c>
    </row>
    <row r="48" spans="1:24" x14ac:dyDescent="0.35">
      <c r="A48">
        <f t="shared" si="40"/>
        <v>19</v>
      </c>
      <c r="B48" s="117">
        <f t="shared" si="23"/>
        <v>10</v>
      </c>
      <c r="C48" s="117">
        <f t="shared" si="24"/>
        <v>18</v>
      </c>
      <c r="D48" s="117">
        <f t="shared" si="25"/>
        <v>1.5</v>
      </c>
      <c r="E48" s="117">
        <f t="shared" si="41"/>
        <v>0.5</v>
      </c>
      <c r="F48" s="117">
        <f t="shared" si="41"/>
        <v>1.75</v>
      </c>
      <c r="G48" s="117">
        <f t="shared" si="41"/>
        <v>3</v>
      </c>
      <c r="H48" s="117">
        <f t="shared" si="28"/>
        <v>1.5</v>
      </c>
      <c r="I48" s="117">
        <f t="shared" si="42"/>
        <v>1.75</v>
      </c>
      <c r="J48" s="117">
        <f t="shared" si="42"/>
        <v>1.75</v>
      </c>
      <c r="K48" s="117">
        <f t="shared" si="42"/>
        <v>1.75</v>
      </c>
      <c r="L48" s="117">
        <f t="shared" si="31"/>
        <v>0.33333333333333331</v>
      </c>
      <c r="M48" s="117">
        <f t="shared" si="32"/>
        <v>1.25</v>
      </c>
      <c r="N48" s="117">
        <f t="shared" si="33"/>
        <v>14</v>
      </c>
      <c r="O48" s="117">
        <f t="shared" si="34"/>
        <v>5</v>
      </c>
      <c r="P48" s="117">
        <f t="shared" si="35"/>
        <v>6</v>
      </c>
      <c r="Q48" s="117">
        <f t="shared" si="36"/>
        <v>6</v>
      </c>
      <c r="R48" s="117">
        <f t="shared" si="37"/>
        <v>1</v>
      </c>
      <c r="S48" s="117">
        <f t="shared" si="38"/>
        <v>2</v>
      </c>
      <c r="T48" s="117">
        <f t="shared" si="39"/>
        <v>1</v>
      </c>
      <c r="U48" s="117"/>
      <c r="W48" s="117"/>
      <c r="X48">
        <f t="shared" si="18"/>
        <v>0</v>
      </c>
    </row>
    <row r="49" spans="1:33" x14ac:dyDescent="0.35">
      <c r="A49">
        <f t="shared" si="40"/>
        <v>20</v>
      </c>
      <c r="B49" s="117">
        <f t="shared" si="23"/>
        <v>10</v>
      </c>
      <c r="C49" s="117">
        <f t="shared" si="24"/>
        <v>18</v>
      </c>
      <c r="D49" s="117">
        <f t="shared" si="25"/>
        <v>1.5</v>
      </c>
      <c r="E49" s="117">
        <f t="shared" si="41"/>
        <v>0.5</v>
      </c>
      <c r="F49" s="117">
        <f t="shared" si="41"/>
        <v>1.75</v>
      </c>
      <c r="G49" s="117">
        <f t="shared" si="41"/>
        <v>3</v>
      </c>
      <c r="H49" s="117">
        <f t="shared" si="28"/>
        <v>1.5</v>
      </c>
      <c r="I49" s="117">
        <f t="shared" si="42"/>
        <v>1.75</v>
      </c>
      <c r="J49" s="117">
        <f t="shared" si="42"/>
        <v>1.75</v>
      </c>
      <c r="K49" s="117">
        <f t="shared" si="42"/>
        <v>1.75</v>
      </c>
      <c r="L49" s="117">
        <f t="shared" si="31"/>
        <v>0.33333333333333331</v>
      </c>
      <c r="M49" s="117">
        <f t="shared" si="32"/>
        <v>1.25</v>
      </c>
      <c r="N49" s="117">
        <f t="shared" si="33"/>
        <v>14</v>
      </c>
      <c r="O49" s="117">
        <f t="shared" si="34"/>
        <v>5</v>
      </c>
      <c r="P49" s="117">
        <f t="shared" si="35"/>
        <v>6</v>
      </c>
      <c r="Q49" s="117">
        <f t="shared" si="36"/>
        <v>6</v>
      </c>
      <c r="R49" s="117">
        <f t="shared" si="37"/>
        <v>1</v>
      </c>
      <c r="S49" s="117">
        <f t="shared" si="38"/>
        <v>2</v>
      </c>
      <c r="T49" s="117">
        <f t="shared" si="39"/>
        <v>1</v>
      </c>
      <c r="U49" s="117"/>
      <c r="W49" s="117"/>
      <c r="X49">
        <f t="shared" si="18"/>
        <v>0</v>
      </c>
    </row>
    <row r="50" spans="1:33" x14ac:dyDescent="0.35">
      <c r="A50">
        <f t="shared" si="40"/>
        <v>21</v>
      </c>
      <c r="B50" s="117">
        <f t="shared" ref="B50:K54" si="43">B49</f>
        <v>10</v>
      </c>
      <c r="C50" s="117">
        <f t="shared" si="43"/>
        <v>18</v>
      </c>
      <c r="D50" s="117">
        <f t="shared" si="43"/>
        <v>1.5</v>
      </c>
      <c r="E50" s="117">
        <f t="shared" si="43"/>
        <v>0.5</v>
      </c>
      <c r="F50" s="117">
        <f t="shared" si="43"/>
        <v>1.75</v>
      </c>
      <c r="G50" s="117">
        <f t="shared" si="43"/>
        <v>3</v>
      </c>
      <c r="H50" s="117">
        <f t="shared" si="43"/>
        <v>1.5</v>
      </c>
      <c r="I50" s="117">
        <f t="shared" si="43"/>
        <v>1.75</v>
      </c>
      <c r="J50" s="117">
        <f t="shared" si="43"/>
        <v>1.75</v>
      </c>
      <c r="K50" s="117">
        <f t="shared" si="43"/>
        <v>1.75</v>
      </c>
      <c r="L50" s="117">
        <f t="shared" si="31"/>
        <v>0.33333333333333331</v>
      </c>
      <c r="M50" s="117">
        <f t="shared" si="32"/>
        <v>1.25</v>
      </c>
      <c r="N50" s="117">
        <f t="shared" si="33"/>
        <v>14</v>
      </c>
      <c r="O50" s="117">
        <f t="shared" si="34"/>
        <v>5</v>
      </c>
      <c r="P50" s="117">
        <f t="shared" si="35"/>
        <v>6</v>
      </c>
      <c r="Q50" s="117">
        <f t="shared" si="36"/>
        <v>6</v>
      </c>
      <c r="R50" s="117">
        <f t="shared" si="37"/>
        <v>1</v>
      </c>
      <c r="S50" s="117">
        <f t="shared" si="38"/>
        <v>2</v>
      </c>
      <c r="T50" s="117">
        <f t="shared" si="39"/>
        <v>1</v>
      </c>
      <c r="U50" s="117"/>
      <c r="W50" s="117"/>
      <c r="X50">
        <f t="shared" si="18"/>
        <v>0</v>
      </c>
    </row>
    <row r="51" spans="1:33" x14ac:dyDescent="0.35">
      <c r="A51">
        <f t="shared" si="40"/>
        <v>22</v>
      </c>
      <c r="B51" s="117">
        <f t="shared" si="43"/>
        <v>10</v>
      </c>
      <c r="C51" s="117">
        <f t="shared" si="43"/>
        <v>18</v>
      </c>
      <c r="D51" s="117">
        <f t="shared" si="43"/>
        <v>1.5</v>
      </c>
      <c r="E51" s="117">
        <f t="shared" si="43"/>
        <v>0.5</v>
      </c>
      <c r="F51" s="117">
        <f t="shared" si="43"/>
        <v>1.75</v>
      </c>
      <c r="G51" s="117">
        <f t="shared" si="43"/>
        <v>3</v>
      </c>
      <c r="H51" s="117">
        <f t="shared" si="43"/>
        <v>1.5</v>
      </c>
      <c r="I51" s="117">
        <f t="shared" si="43"/>
        <v>1.75</v>
      </c>
      <c r="J51" s="117">
        <f t="shared" si="43"/>
        <v>1.75</v>
      </c>
      <c r="K51" s="117">
        <f t="shared" si="43"/>
        <v>1.75</v>
      </c>
      <c r="L51" s="117">
        <f t="shared" si="31"/>
        <v>0.33333333333333331</v>
      </c>
      <c r="M51" s="117">
        <f t="shared" si="32"/>
        <v>1.25</v>
      </c>
      <c r="N51" s="117">
        <f t="shared" si="33"/>
        <v>14</v>
      </c>
      <c r="O51" s="117">
        <f t="shared" si="34"/>
        <v>5</v>
      </c>
      <c r="P51" s="117">
        <f t="shared" si="35"/>
        <v>6</v>
      </c>
      <c r="Q51" s="117">
        <f t="shared" si="36"/>
        <v>6</v>
      </c>
      <c r="R51" s="117">
        <f t="shared" si="37"/>
        <v>1</v>
      </c>
      <c r="S51" s="117">
        <f t="shared" si="38"/>
        <v>2</v>
      </c>
      <c r="T51" s="117">
        <f t="shared" si="39"/>
        <v>1</v>
      </c>
      <c r="U51" s="117"/>
      <c r="W51" s="117"/>
      <c r="X51">
        <f t="shared" si="18"/>
        <v>0</v>
      </c>
    </row>
    <row r="52" spans="1:33" x14ac:dyDescent="0.35">
      <c r="A52">
        <f t="shared" si="40"/>
        <v>23</v>
      </c>
      <c r="B52" s="117">
        <f t="shared" si="43"/>
        <v>10</v>
      </c>
      <c r="C52" s="117">
        <f t="shared" si="43"/>
        <v>18</v>
      </c>
      <c r="D52" s="117">
        <f t="shared" si="43"/>
        <v>1.5</v>
      </c>
      <c r="E52" s="117">
        <f t="shared" si="43"/>
        <v>0.5</v>
      </c>
      <c r="F52" s="117">
        <f t="shared" si="43"/>
        <v>1.75</v>
      </c>
      <c r="G52" s="117">
        <f t="shared" si="43"/>
        <v>3</v>
      </c>
      <c r="H52" s="117">
        <f t="shared" si="43"/>
        <v>1.5</v>
      </c>
      <c r="I52" s="117">
        <f t="shared" si="43"/>
        <v>1.75</v>
      </c>
      <c r="J52" s="117">
        <f t="shared" si="43"/>
        <v>1.75</v>
      </c>
      <c r="K52" s="117">
        <f t="shared" si="43"/>
        <v>1.75</v>
      </c>
      <c r="L52" s="117">
        <f t="shared" si="31"/>
        <v>0.33333333333333331</v>
      </c>
      <c r="M52" s="117">
        <f t="shared" si="32"/>
        <v>1.25</v>
      </c>
      <c r="N52" s="117">
        <f t="shared" si="33"/>
        <v>14</v>
      </c>
      <c r="O52" s="117">
        <f t="shared" si="34"/>
        <v>5</v>
      </c>
      <c r="P52" s="117">
        <f t="shared" si="35"/>
        <v>6</v>
      </c>
      <c r="Q52" s="117">
        <f t="shared" si="36"/>
        <v>6</v>
      </c>
      <c r="R52" s="117">
        <f t="shared" si="37"/>
        <v>1</v>
      </c>
      <c r="S52" s="117">
        <f t="shared" si="38"/>
        <v>2</v>
      </c>
      <c r="T52" s="117">
        <f t="shared" si="39"/>
        <v>1</v>
      </c>
      <c r="U52" s="117"/>
      <c r="W52" s="117"/>
      <c r="X52">
        <f t="shared" si="18"/>
        <v>0</v>
      </c>
    </row>
    <row r="53" spans="1:33" x14ac:dyDescent="0.35">
      <c r="A53">
        <f t="shared" si="40"/>
        <v>24</v>
      </c>
      <c r="B53" s="117">
        <f t="shared" si="43"/>
        <v>10</v>
      </c>
      <c r="C53" s="117">
        <f t="shared" si="43"/>
        <v>18</v>
      </c>
      <c r="D53" s="117">
        <f t="shared" si="43"/>
        <v>1.5</v>
      </c>
      <c r="E53" s="117">
        <f t="shared" si="43"/>
        <v>0.5</v>
      </c>
      <c r="F53" s="117">
        <f t="shared" si="43"/>
        <v>1.75</v>
      </c>
      <c r="G53" s="117">
        <f t="shared" si="43"/>
        <v>3</v>
      </c>
      <c r="H53" s="117">
        <f t="shared" si="43"/>
        <v>1.5</v>
      </c>
      <c r="I53" s="117">
        <f t="shared" si="43"/>
        <v>1.75</v>
      </c>
      <c r="J53" s="117">
        <f t="shared" si="43"/>
        <v>1.75</v>
      </c>
      <c r="K53" s="117">
        <f t="shared" si="43"/>
        <v>1.75</v>
      </c>
      <c r="L53" s="117">
        <f t="shared" si="31"/>
        <v>0.33333333333333331</v>
      </c>
      <c r="M53" s="117">
        <f t="shared" si="32"/>
        <v>1.25</v>
      </c>
      <c r="N53" s="117">
        <f t="shared" si="33"/>
        <v>14</v>
      </c>
      <c r="O53" s="117">
        <f t="shared" si="34"/>
        <v>5</v>
      </c>
      <c r="P53" s="117">
        <f t="shared" si="35"/>
        <v>6</v>
      </c>
      <c r="Q53" s="117">
        <f t="shared" si="36"/>
        <v>6</v>
      </c>
      <c r="R53" s="117">
        <f t="shared" si="37"/>
        <v>1</v>
      </c>
      <c r="S53" s="117">
        <f t="shared" si="38"/>
        <v>2</v>
      </c>
      <c r="T53" s="117">
        <f t="shared" si="39"/>
        <v>1</v>
      </c>
      <c r="U53" s="117"/>
      <c r="W53" s="117"/>
      <c r="X53">
        <f t="shared" si="18"/>
        <v>0</v>
      </c>
    </row>
    <row r="54" spans="1:33" x14ac:dyDescent="0.35">
      <c r="A54">
        <f t="shared" si="40"/>
        <v>25</v>
      </c>
      <c r="B54" s="117">
        <f t="shared" si="43"/>
        <v>10</v>
      </c>
      <c r="C54" s="117">
        <f t="shared" si="43"/>
        <v>18</v>
      </c>
      <c r="D54" s="117">
        <f t="shared" si="43"/>
        <v>1.5</v>
      </c>
      <c r="E54" s="117">
        <f t="shared" si="43"/>
        <v>0.5</v>
      </c>
      <c r="F54" s="117">
        <f t="shared" si="43"/>
        <v>1.75</v>
      </c>
      <c r="G54" s="117">
        <f t="shared" si="43"/>
        <v>3</v>
      </c>
      <c r="H54" s="117">
        <f t="shared" si="43"/>
        <v>1.5</v>
      </c>
      <c r="I54" s="117">
        <f t="shared" si="43"/>
        <v>1.75</v>
      </c>
      <c r="J54" s="117">
        <f t="shared" si="43"/>
        <v>1.75</v>
      </c>
      <c r="K54" s="117">
        <f t="shared" si="43"/>
        <v>1.75</v>
      </c>
      <c r="L54" s="117">
        <f t="shared" si="31"/>
        <v>0.33333333333333331</v>
      </c>
      <c r="M54" s="117">
        <f t="shared" si="32"/>
        <v>1.25</v>
      </c>
      <c r="N54" s="117">
        <f t="shared" si="33"/>
        <v>14</v>
      </c>
      <c r="O54" s="117">
        <f t="shared" si="34"/>
        <v>5</v>
      </c>
      <c r="P54" s="117">
        <f t="shared" si="35"/>
        <v>6</v>
      </c>
      <c r="Q54" s="117">
        <f t="shared" si="36"/>
        <v>6</v>
      </c>
      <c r="R54" s="117">
        <f t="shared" si="37"/>
        <v>1</v>
      </c>
      <c r="S54" s="117">
        <f t="shared" si="38"/>
        <v>2</v>
      </c>
      <c r="T54" s="117">
        <f t="shared" si="39"/>
        <v>1</v>
      </c>
      <c r="U54" s="117"/>
      <c r="W54" s="117"/>
      <c r="X54">
        <f t="shared" si="18"/>
        <v>0</v>
      </c>
    </row>
    <row r="55" spans="1:33" x14ac:dyDescent="0.35">
      <c r="B55" s="227"/>
    </row>
    <row r="56" spans="1:33" x14ac:dyDescent="0.35">
      <c r="A56" t="s">
        <v>335</v>
      </c>
      <c r="B56" s="228" t="s">
        <v>247</v>
      </c>
      <c r="C56" s="228" t="s">
        <v>248</v>
      </c>
      <c r="D56" s="228" t="s">
        <v>249</v>
      </c>
      <c r="E56" s="228" t="s">
        <v>250</v>
      </c>
      <c r="F56" s="228" t="s">
        <v>251</v>
      </c>
      <c r="G56" s="228" t="s">
        <v>252</v>
      </c>
      <c r="H56" s="228" t="s">
        <v>253</v>
      </c>
      <c r="I56" s="228" t="s">
        <v>254</v>
      </c>
      <c r="J56" s="228" t="s">
        <v>255</v>
      </c>
      <c r="K56" s="228" t="s">
        <v>256</v>
      </c>
      <c r="L56" s="228" t="s">
        <v>257</v>
      </c>
      <c r="M56" s="228" t="s">
        <v>258</v>
      </c>
      <c r="N56" s="228" t="s">
        <v>261</v>
      </c>
      <c r="O56" s="228" t="s">
        <v>262</v>
      </c>
      <c r="P56" s="228" t="s">
        <v>263</v>
      </c>
      <c r="Q56" s="228" t="s">
        <v>264</v>
      </c>
      <c r="R56" s="228" t="s">
        <v>265</v>
      </c>
      <c r="S56" s="228" t="s">
        <v>266</v>
      </c>
      <c r="T56" s="228" t="s">
        <v>267</v>
      </c>
      <c r="U56" s="228" t="s">
        <v>268</v>
      </c>
      <c r="V56" s="228" t="s">
        <v>269</v>
      </c>
      <c r="W56" s="228" t="s">
        <v>270</v>
      </c>
      <c r="X56" s="228" t="s">
        <v>271</v>
      </c>
      <c r="Y56" s="228" t="s">
        <v>272</v>
      </c>
      <c r="Z56" s="228" t="s">
        <v>260</v>
      </c>
    </row>
    <row r="57" spans="1:33" x14ac:dyDescent="0.35">
      <c r="B57" s="227">
        <f>'AP und Sort'!L41</f>
        <v>632.91666666666663</v>
      </c>
      <c r="C57" s="227">
        <f>Puffer!L41</f>
        <v>2047.5</v>
      </c>
      <c r="D57" s="227">
        <f>'3'!L41</f>
        <v>0</v>
      </c>
      <c r="E57" s="227">
        <f>'4'!L41</f>
        <v>0</v>
      </c>
      <c r="F57" s="227">
        <f>'5'!L41</f>
        <v>0</v>
      </c>
      <c r="G57" s="227">
        <f>'6'!L41</f>
        <v>0</v>
      </c>
      <c r="H57" s="227">
        <f>'7'!L41</f>
        <v>0</v>
      </c>
      <c r="I57" s="227">
        <f>'8'!L41</f>
        <v>0</v>
      </c>
      <c r="J57" s="227">
        <f>'9'!L41</f>
        <v>0</v>
      </c>
      <c r="K57" s="227">
        <f>'10'!L41</f>
        <v>0</v>
      </c>
      <c r="L57" s="227">
        <f>'11'!L41</f>
        <v>0</v>
      </c>
      <c r="M57" s="227">
        <f>'12'!L41</f>
        <v>0</v>
      </c>
      <c r="N57" s="227">
        <f>'13'!L41</f>
        <v>0</v>
      </c>
      <c r="O57" s="227">
        <f>'14'!L41</f>
        <v>0</v>
      </c>
      <c r="P57" s="227">
        <f>'15'!L41</f>
        <v>0</v>
      </c>
      <c r="Q57" s="227">
        <f>'16'!L41</f>
        <v>0</v>
      </c>
      <c r="R57" s="227">
        <f>'17'!L41</f>
        <v>0</v>
      </c>
      <c r="S57" s="227">
        <f>'18'!L41</f>
        <v>0</v>
      </c>
      <c r="T57" s="227">
        <f>'19'!L41</f>
        <v>0</v>
      </c>
      <c r="U57" s="227">
        <f>'20'!L41</f>
        <v>0</v>
      </c>
      <c r="V57" s="227">
        <f>'21'!L41</f>
        <v>0</v>
      </c>
      <c r="W57" s="227">
        <f>'22'!L41</f>
        <v>0</v>
      </c>
      <c r="X57" s="227">
        <f>'23'!L41</f>
        <v>0</v>
      </c>
      <c r="Y57" s="227">
        <f>'24'!L41</f>
        <v>0</v>
      </c>
      <c r="Z57" s="227">
        <f>'25'!L41</f>
        <v>0</v>
      </c>
      <c r="AA57" s="229">
        <f>SUM(B57:Z57)+Taschen!B12*(Taschen!V18+Taschen!K34)+Mengen!E16</f>
        <v>2689.1666666666665</v>
      </c>
      <c r="AB57" s="495" t="s">
        <v>464</v>
      </c>
      <c r="AC57" s="495"/>
      <c r="AD57" s="495"/>
    </row>
    <row r="58" spans="1:33" x14ac:dyDescent="0.35">
      <c r="Y58" s="495"/>
      <c r="Z58" s="495"/>
      <c r="AA58" s="285"/>
      <c r="AD58" s="70" t="s">
        <v>461</v>
      </c>
      <c r="AE58" s="292">
        <f>Übersicht!D62</f>
        <v>6</v>
      </c>
      <c r="AF58" s="293">
        <f>AE58*1+AE59*0.75</f>
        <v>6</v>
      </c>
    </row>
    <row r="59" spans="1:33" x14ac:dyDescent="0.35">
      <c r="A59" t="s">
        <v>207</v>
      </c>
      <c r="Y59" s="495" t="s">
        <v>534</v>
      </c>
      <c r="Z59" s="495"/>
      <c r="AA59" s="231">
        <f>ROUNDUP(AE62/AE58/Übersicht!D56*7,0)</f>
        <v>111</v>
      </c>
      <c r="AD59" s="75" t="s">
        <v>462</v>
      </c>
      <c r="AE59" s="294">
        <f>Übersicht!D63</f>
        <v>0</v>
      </c>
      <c r="AF59" s="295"/>
    </row>
    <row r="60" spans="1:33" x14ac:dyDescent="0.35">
      <c r="B60" t="s">
        <v>209</v>
      </c>
      <c r="C60" t="s">
        <v>212</v>
      </c>
      <c r="D60" t="s">
        <v>211</v>
      </c>
      <c r="E60" t="s">
        <v>17</v>
      </c>
      <c r="F60" t="s">
        <v>210</v>
      </c>
      <c r="G60" t="s">
        <v>213</v>
      </c>
      <c r="H60" t="s">
        <v>214</v>
      </c>
      <c r="Y60" s="495" t="s">
        <v>469</v>
      </c>
      <c r="Z60" s="495"/>
      <c r="AA60">
        <f>ROUNDUP(AA59/42,0)</f>
        <v>3</v>
      </c>
    </row>
    <row r="61" spans="1:33" x14ac:dyDescent="0.35">
      <c r="A61" t="s">
        <v>69</v>
      </c>
      <c r="B61">
        <v>850</v>
      </c>
      <c r="C61">
        <v>500</v>
      </c>
      <c r="D61">
        <v>200</v>
      </c>
      <c r="E61">
        <f>SUM(B61:D61)</f>
        <v>1550</v>
      </c>
      <c r="F61">
        <v>62</v>
      </c>
      <c r="G61">
        <v>6</v>
      </c>
      <c r="H61">
        <v>2</v>
      </c>
      <c r="Y61" s="495" t="s">
        <v>530</v>
      </c>
      <c r="Z61" s="495"/>
      <c r="AA61" s="227">
        <f>Übersicht!D59/90*2</f>
        <v>17.777777777777779</v>
      </c>
      <c r="AB61" s="231">
        <f>ROUNDUP(AA60*AA61/(2*9),0)</f>
        <v>3</v>
      </c>
      <c r="AD61" t="s">
        <v>478</v>
      </c>
      <c r="AE61" s="227">
        <f>Übersicht!E54</f>
        <v>4532.6666666666661</v>
      </c>
      <c r="AF61" s="508" t="s">
        <v>535</v>
      </c>
      <c r="AG61" s="508"/>
    </row>
    <row r="62" spans="1:33" x14ac:dyDescent="0.35">
      <c r="A62" t="s">
        <v>208</v>
      </c>
      <c r="B62">
        <v>920</v>
      </c>
      <c r="D62">
        <v>200</v>
      </c>
      <c r="E62">
        <f>SUM(B62:D62)</f>
        <v>1120</v>
      </c>
      <c r="F62">
        <v>160</v>
      </c>
      <c r="G62">
        <v>3</v>
      </c>
      <c r="H62">
        <v>1</v>
      </c>
      <c r="Y62" s="495" t="s">
        <v>338</v>
      </c>
      <c r="Z62" s="495"/>
      <c r="AA62" s="213">
        <f>Übersicht!D59*2*0.36</f>
        <v>576</v>
      </c>
      <c r="AB62" s="213">
        <f>AA60*AA62</f>
        <v>1728</v>
      </c>
      <c r="AD62" t="s">
        <v>476</v>
      </c>
      <c r="AE62" s="227">
        <f>AE61-AE63</f>
        <v>4532.6666666666661</v>
      </c>
      <c r="AF62" s="508" t="s">
        <v>536</v>
      </c>
      <c r="AG62" s="508"/>
    </row>
    <row r="63" spans="1:33" x14ac:dyDescent="0.35">
      <c r="Y63" s="495"/>
      <c r="Z63" s="495"/>
      <c r="AA63" s="227"/>
      <c r="AB63" s="231"/>
      <c r="AD63" t="s">
        <v>477</v>
      </c>
      <c r="AE63" s="227">
        <f>AE61/(AE58+AE59)*AE59*0.75</f>
        <v>0</v>
      </c>
      <c r="AF63" s="508" t="s">
        <v>537</v>
      </c>
      <c r="AG63" s="508"/>
    </row>
    <row r="64" spans="1:33" x14ac:dyDescent="0.35">
      <c r="T64" s="495" t="s">
        <v>538</v>
      </c>
      <c r="U64" s="495"/>
      <c r="V64" s="495"/>
      <c r="W64" s="495"/>
      <c r="X64" s="495"/>
      <c r="Y64" s="495"/>
      <c r="Z64" s="495"/>
      <c r="AA64" s="213">
        <f>ROUNDUP(AA60*(AA61*AE66+AB61*AE65+AB61),-1)</f>
        <v>2130</v>
      </c>
    </row>
    <row r="65" spans="1:31" x14ac:dyDescent="0.3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AC65" s="285"/>
      <c r="AD65" s="285" t="s">
        <v>332</v>
      </c>
      <c r="AE65" s="213">
        <f>Übersicht!D61</f>
        <v>51</v>
      </c>
    </row>
    <row r="66" spans="1:31" x14ac:dyDescent="0.35">
      <c r="A66" t="s">
        <v>203</v>
      </c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AC66" s="285"/>
      <c r="AD66" t="s">
        <v>27</v>
      </c>
      <c r="AE66" s="213">
        <f>Übersicht!D64</f>
        <v>31</v>
      </c>
    </row>
    <row r="67" spans="1:31" x14ac:dyDescent="0.35">
      <c r="B67" s="190" t="s">
        <v>168</v>
      </c>
      <c r="C67" s="190" t="s">
        <v>12</v>
      </c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AA67" s="495"/>
      <c r="AB67" s="495"/>
      <c r="AC67" s="227"/>
    </row>
    <row r="68" spans="1:31" x14ac:dyDescent="0.35">
      <c r="A68" t="s">
        <v>228</v>
      </c>
      <c r="B68" s="190">
        <v>4.8499999999999996</v>
      </c>
      <c r="C68" s="190">
        <v>12.5</v>
      </c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31" x14ac:dyDescent="0.35">
      <c r="A69" t="s">
        <v>229</v>
      </c>
      <c r="B69" s="190">
        <v>11.1</v>
      </c>
      <c r="C69" s="190">
        <v>27.9</v>
      </c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31" x14ac:dyDescent="0.35">
      <c r="A70" t="s">
        <v>230</v>
      </c>
      <c r="B70" s="190">
        <v>18</v>
      </c>
      <c r="C70" s="190">
        <v>25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31" x14ac:dyDescent="0.35">
      <c r="A71" t="s">
        <v>547</v>
      </c>
      <c r="B71" s="415">
        <v>25</v>
      </c>
      <c r="C71" s="415">
        <v>35</v>
      </c>
    </row>
    <row r="72" spans="1:31" x14ac:dyDescent="0.35">
      <c r="AD72" s="285"/>
    </row>
    <row r="73" spans="1:31" x14ac:dyDescent="0.35">
      <c r="AC73" s="285"/>
    </row>
    <row r="74" spans="1:31" x14ac:dyDescent="0.35">
      <c r="A74" t="s">
        <v>246</v>
      </c>
      <c r="B74" s="190" t="s">
        <v>247</v>
      </c>
      <c r="C74" s="190" t="s">
        <v>248</v>
      </c>
      <c r="D74" s="190" t="s">
        <v>249</v>
      </c>
      <c r="E74" s="190" t="s">
        <v>250</v>
      </c>
      <c r="F74" s="190" t="s">
        <v>251</v>
      </c>
      <c r="G74" s="190" t="s">
        <v>252</v>
      </c>
      <c r="H74" s="190" t="s">
        <v>253</v>
      </c>
      <c r="I74" s="190" t="s">
        <v>254</v>
      </c>
      <c r="J74" s="190" t="s">
        <v>255</v>
      </c>
      <c r="K74" s="190" t="s">
        <v>256</v>
      </c>
      <c r="L74" s="190" t="s">
        <v>257</v>
      </c>
      <c r="M74" s="190" t="s">
        <v>258</v>
      </c>
      <c r="N74" s="190" t="s">
        <v>261</v>
      </c>
      <c r="O74" s="190" t="s">
        <v>262</v>
      </c>
      <c r="P74" s="190" t="s">
        <v>263</v>
      </c>
      <c r="Q74" s="190" t="s">
        <v>264</v>
      </c>
      <c r="R74" s="190" t="s">
        <v>265</v>
      </c>
      <c r="S74" s="190" t="s">
        <v>266</v>
      </c>
      <c r="T74" s="190" t="s">
        <v>267</v>
      </c>
      <c r="U74" s="190" t="s">
        <v>268</v>
      </c>
      <c r="V74" s="190" t="s">
        <v>269</v>
      </c>
      <c r="W74" s="190" t="s">
        <v>270</v>
      </c>
      <c r="X74" s="190" t="s">
        <v>271</v>
      </c>
      <c r="Y74" s="190" t="s">
        <v>272</v>
      </c>
      <c r="Z74" s="190" t="s">
        <v>260</v>
      </c>
      <c r="AB74" s="284"/>
      <c r="AC74" s="285"/>
    </row>
    <row r="75" spans="1:31" x14ac:dyDescent="0.35">
      <c r="A75" t="s">
        <v>244</v>
      </c>
      <c r="B75" s="190">
        <f>('AP und Sort'!D3*'AP und Sort'!E3*2+'AP und Sort'!D3*2.5)*'AP und Sort'!F3</f>
        <v>0</v>
      </c>
      <c r="C75" s="190">
        <f>(Puffer!D3*Puffer!E3*2+Puffer!D3*2.5)*Puffer!F3</f>
        <v>0</v>
      </c>
      <c r="D75" s="190">
        <f>('3'!D3*'3'!E3*2+'3'!D3*2.5)*'3'!F3</f>
        <v>0</v>
      </c>
      <c r="E75" s="190">
        <f>('4'!D3*'4'!E3*2+'4'!D3*2.5)*'4'!F3</f>
        <v>0</v>
      </c>
      <c r="F75" s="190">
        <f>('5'!D3*'5'!E3*2+2.5*'5'!D3)*'5'!F3</f>
        <v>0</v>
      </c>
      <c r="G75" s="190">
        <f>('6'!D3*'6'!E3*2+'6'!D3*2.5)*'6'!F3</f>
        <v>0</v>
      </c>
      <c r="H75" s="190">
        <f>('7'!D3*'7'!E3*2+'7'!D3*2.5)*'7'!F3</f>
        <v>0</v>
      </c>
      <c r="I75" s="190">
        <f>('8'!D3*'8'!E3*2+'8'!D3*2.5)*'8'!F3</f>
        <v>0</v>
      </c>
      <c r="J75" s="190">
        <f>('9'!D3*'9'!E3*2+'9'!D3*2.5)*'9'!F3</f>
        <v>0</v>
      </c>
      <c r="K75" s="190">
        <f>('10'!D3*'10'!E3*2+'10'!D3*2.5)*'10'!F3</f>
        <v>0</v>
      </c>
      <c r="L75" s="190">
        <f>('11'!D3*'11'!E3*2+'11'!D3*2.5)*'11'!F3</f>
        <v>0</v>
      </c>
      <c r="M75" s="190">
        <f>('12'!D3*'12'!E3*2+'12'!D3*2.5)*'12'!F3</f>
        <v>0</v>
      </c>
      <c r="N75" s="190">
        <f>('13'!D3*'13'!E3*2+'13'!D3*2.5)*'13'!F3</f>
        <v>0</v>
      </c>
      <c r="O75" s="190">
        <f>('14'!D3*'14'!E3*2+'14'!D3*2.5)*'14'!F3</f>
        <v>0</v>
      </c>
      <c r="P75" s="190">
        <f>('15'!D3*'15'!E3*2+'15'!D3*2.5)*'15'!F3</f>
        <v>0</v>
      </c>
      <c r="Q75" s="190">
        <f>('16'!D3*'16'!E3*2+'16'!D3*2.5)*'16'!F3</f>
        <v>0</v>
      </c>
      <c r="R75" s="190">
        <f>('17'!D3*'17'!E3*2+'17'!D3*2.5)*'17'!F3</f>
        <v>0</v>
      </c>
      <c r="S75" s="190">
        <f>('18'!D3*'18'!E3*2+'18'!D3*2.5)*'18'!F3</f>
        <v>0</v>
      </c>
      <c r="T75" s="190">
        <f>('19'!D3*'19'!E3*2+'19'!D3*2.5)*'19'!F3</f>
        <v>0</v>
      </c>
      <c r="U75" s="190">
        <f>('20'!D3*'20'!E3*2+'20'!D3*2.5)*'20'!F3</f>
        <v>0</v>
      </c>
      <c r="V75" s="190">
        <f>('21'!D3*'21'!E3*2+'21'!D3*2.5)*'21'!F3</f>
        <v>0</v>
      </c>
      <c r="W75" s="190">
        <f>('22'!D3*'22'!E3*2+'22'!D3*2.5)*'22'!F3</f>
        <v>0</v>
      </c>
      <c r="X75" s="190">
        <f>('23'!D3*'23'!E3*2+'23'!D3*2.5)*'23'!F3</f>
        <v>0</v>
      </c>
      <c r="Y75" s="190">
        <f>('24'!D3*'24'!E3*2+'24'!D3*2.5)*'24'!F3</f>
        <v>0</v>
      </c>
      <c r="Z75" s="190">
        <f>('25'!D3*'25'!E3*2+'25'!D3*2.5)*'25'!F3</f>
        <v>0</v>
      </c>
      <c r="AC75" s="285"/>
    </row>
    <row r="76" spans="1:31" x14ac:dyDescent="0.35">
      <c r="B76" s="290">
        <f>('AP und Sort'!D4*'AP und Sort'!E4*2+'AP und Sort'!D4*2.5)*'AP und Sort'!F4</f>
        <v>0</v>
      </c>
      <c r="C76" s="290">
        <f>(Puffer!D4*Puffer!E4*2+Puffer!D4*2.5)*Puffer!F4</f>
        <v>0</v>
      </c>
      <c r="D76" s="290">
        <f>('3'!D4*'3'!E4*2+'3'!D4*2.5)*'3'!F4</f>
        <v>0</v>
      </c>
      <c r="E76" s="290">
        <f>('4'!D4*'4'!E4*2+'4'!D4*2.5)*'4'!F4</f>
        <v>0</v>
      </c>
      <c r="F76" s="290">
        <f>('5'!D4*'5'!E4*2+2.5*'5'!D4)*'5'!F4</f>
        <v>0</v>
      </c>
      <c r="G76" s="290">
        <f>('6'!D4*'6'!E4*2+'6'!D4*2.5)*'6'!F4</f>
        <v>0</v>
      </c>
      <c r="H76" s="290">
        <f>('7'!D4*'7'!E4*2+'7'!D4*2.5)*'7'!F4</f>
        <v>0</v>
      </c>
      <c r="I76" s="290">
        <f>('8'!D4*'8'!E4*2+'8'!D4*2.5)*'8'!F4</f>
        <v>0</v>
      </c>
      <c r="J76" s="290">
        <f>('9'!D4*'9'!E4*2+'9'!D4*2.5)*'9'!F4</f>
        <v>0</v>
      </c>
      <c r="K76" s="290">
        <f>('10'!D4*'10'!E4*2+'10'!D4*2.5)*'10'!F4</f>
        <v>0</v>
      </c>
      <c r="L76" s="290">
        <f>('11'!D4*'11'!E4*2+'11'!D4*2.5)*'11'!F4</f>
        <v>0</v>
      </c>
      <c r="M76" s="290">
        <f>('12'!D4*'12'!E4*2+'12'!D4*2.5)*'12'!F4</f>
        <v>0</v>
      </c>
      <c r="N76" s="290">
        <f>('13'!D4*'13'!E4*2+'13'!D4*2.5)*'13'!F4</f>
        <v>0</v>
      </c>
      <c r="O76" s="290">
        <f>('14'!D4*'14'!E4*2+'14'!D4*2.5)*'14'!F4</f>
        <v>0</v>
      </c>
      <c r="P76" s="290">
        <f>('15'!D4*'15'!E4*2+'15'!D4*2.5)*'15'!F4</f>
        <v>0</v>
      </c>
      <c r="Q76" s="290">
        <f>('16'!D4*'16'!E4*2+'16'!D4*2.5)*'16'!F4</f>
        <v>0</v>
      </c>
      <c r="R76" s="290">
        <f>('17'!D4*'17'!E4*2+'17'!D4*2.5)*'17'!F4</f>
        <v>0</v>
      </c>
      <c r="S76" s="290">
        <f>('18'!D4*'18'!E4*2+'18'!D4*2.5)*'18'!F4</f>
        <v>0</v>
      </c>
      <c r="T76" s="290">
        <f>('19'!D4*'19'!E4*2+'19'!D4*2.5)*'19'!F4</f>
        <v>0</v>
      </c>
      <c r="U76" s="290">
        <f>('20'!D4*'20'!E4*2+'20'!D4*2.5)*'20'!F4</f>
        <v>0</v>
      </c>
      <c r="V76" s="290">
        <f>('21'!D4*'21'!E4*2+'21'!D4*2.5)*'21'!F4</f>
        <v>0</v>
      </c>
      <c r="W76" s="290">
        <f>('22'!D4*'22'!E4*2+'22'!D4*2.5)*'22'!F4</f>
        <v>0</v>
      </c>
      <c r="X76" s="290">
        <f>('23'!D4*'23'!E4*2+'23'!D4*2.5)*'23'!F4</f>
        <v>0</v>
      </c>
      <c r="Y76" s="290">
        <f>('24'!D4*'24'!E4*2+'24'!D4*2.5)*'24'!F4</f>
        <v>0</v>
      </c>
      <c r="Z76" s="290">
        <f>('25'!D4*'25'!E4*2+'25'!D4*2.5)*'25'!F4</f>
        <v>0</v>
      </c>
    </row>
    <row r="77" spans="1:31" x14ac:dyDescent="0.35">
      <c r="B77" s="290">
        <f>('AP und Sort'!D5*'AP und Sort'!E5*2+'AP und Sort'!D5*2.5)*'AP und Sort'!F5</f>
        <v>0</v>
      </c>
      <c r="C77" s="290">
        <f>(Puffer!D5*Puffer!E5*2+Puffer!D5*2.5)*Puffer!F5</f>
        <v>135</v>
      </c>
      <c r="D77" s="290">
        <f>('3'!D5*'3'!E5*2+'3'!D5*2.5)*'3'!F5</f>
        <v>0</v>
      </c>
      <c r="E77" s="290">
        <f>('4'!D5*'4'!E5*2+'4'!D5*2.5)*'4'!F5</f>
        <v>0</v>
      </c>
      <c r="F77" s="290">
        <f>('5'!D5*'5'!E5*2+2.5*'5'!D5)*'5'!F5</f>
        <v>0</v>
      </c>
      <c r="G77" s="290">
        <f>('6'!D5*'6'!E5*2+'6'!D5*2.5)*'6'!F5</f>
        <v>0</v>
      </c>
      <c r="H77" s="290">
        <f>('7'!D5*'7'!E5*2+'7'!D5*2.5)*'7'!F5</f>
        <v>0</v>
      </c>
      <c r="I77" s="290">
        <f>('8'!D5*'8'!E5*2+'8'!D5*2.5)*'8'!F5</f>
        <v>0</v>
      </c>
      <c r="J77" s="290">
        <f>('9'!D5*'9'!E5*2+'9'!D5*2.5)*'9'!F5</f>
        <v>0</v>
      </c>
      <c r="K77" s="290">
        <f>('10'!D5*'10'!E5*2+'10'!D5*2.5)*'10'!F5</f>
        <v>0</v>
      </c>
      <c r="L77" s="290">
        <f>('11'!D5*'11'!E5*2+'11'!D5*2.5)*'11'!F5</f>
        <v>0</v>
      </c>
      <c r="M77" s="290">
        <f>('12'!D5*'12'!E5*2+'12'!D5*2.5)*'12'!F5</f>
        <v>0</v>
      </c>
      <c r="N77" s="290">
        <f>('13'!D5*'13'!E5*2+'13'!D5*2.5)*'13'!F5</f>
        <v>0</v>
      </c>
      <c r="O77" s="290">
        <f>('14'!D5*'14'!E5*2+'14'!D5*2.5)*'14'!F5</f>
        <v>0</v>
      </c>
      <c r="P77" s="290">
        <f>('15'!D5*'15'!E5*2+'15'!D5*2.5)*'15'!F5</f>
        <v>0</v>
      </c>
      <c r="Q77" s="290">
        <f>('16'!D5*'16'!E5*2+'16'!D5*2.5)*'16'!F5</f>
        <v>0</v>
      </c>
      <c r="R77" s="290">
        <f>('17'!D5*'17'!E5*2+'17'!D5*2.5)*'17'!F5</f>
        <v>0</v>
      </c>
      <c r="S77" s="290">
        <f>('18'!D5*'18'!E5*2+'18'!D5*2.5)*'18'!F5</f>
        <v>0</v>
      </c>
      <c r="T77" s="290">
        <f>('19'!D5*'19'!E5*2+'19'!D5*2.5)*'19'!F5</f>
        <v>0</v>
      </c>
      <c r="U77" s="290">
        <f>('20'!D5*'20'!E5*2+'20'!D5*2.5)*'20'!F5</f>
        <v>0</v>
      </c>
      <c r="V77" s="290">
        <f>('21'!D5*'21'!E5*2+'21'!D5*2.5)*'21'!F5</f>
        <v>0</v>
      </c>
      <c r="W77" s="290">
        <f>('22'!D5*'22'!E5*2+'22'!D5*2.5)*'22'!F5</f>
        <v>0</v>
      </c>
      <c r="X77" s="290">
        <f>('23'!D5*'23'!E5*2+'23'!D5*2.5)*'23'!F5</f>
        <v>0</v>
      </c>
      <c r="Y77" s="290">
        <f>('24'!D5*'24'!E5*2+'24'!D5*2.5)*'24'!F5</f>
        <v>0</v>
      </c>
      <c r="Z77" s="290">
        <f>('25'!D5*'25'!E5*2+'25'!D5*2.5)*'25'!F5</f>
        <v>0</v>
      </c>
    </row>
    <row r="78" spans="1:31" x14ac:dyDescent="0.35">
      <c r="B78" s="290">
        <f>('AP und Sort'!D6*'AP und Sort'!E6*2+'AP und Sort'!D6*2.5)*'AP und Sort'!F6</f>
        <v>37.5</v>
      </c>
      <c r="C78" s="290">
        <f>(Puffer!D6*Puffer!E6*2+Puffer!D6*2.5)*Puffer!F6</f>
        <v>0</v>
      </c>
      <c r="D78" s="290">
        <f>('3'!D6*'3'!E6*2+'3'!D6*2.5)*'3'!F6</f>
        <v>0</v>
      </c>
      <c r="E78" s="290">
        <f>('4'!D6*'4'!E6*2+'4'!D6*2.5)*'4'!F6</f>
        <v>0</v>
      </c>
      <c r="F78" s="290">
        <f>('5'!D6*'5'!E6*2+2.5*'5'!D6)*'5'!F6</f>
        <v>0</v>
      </c>
      <c r="G78" s="290">
        <f>('6'!D6*'6'!E6*2+'6'!D6*2.5)*'6'!F6</f>
        <v>0</v>
      </c>
      <c r="H78" s="290">
        <f>('7'!D6*'7'!E6*2+'7'!D6*2.5)*'7'!F6</f>
        <v>0</v>
      </c>
      <c r="I78" s="290">
        <f>('8'!D6*'8'!E6*2+'8'!D6*2.5)*'8'!F6</f>
        <v>0</v>
      </c>
      <c r="J78" s="290">
        <f>('9'!D6*'9'!E6*2+'9'!D6*2.5)*'9'!F6</f>
        <v>0</v>
      </c>
      <c r="K78" s="290">
        <f>('10'!D6*'10'!E6*2+'10'!D6*2.5)*'10'!F6</f>
        <v>0</v>
      </c>
      <c r="L78" s="290">
        <f>('11'!D6*'11'!E6*2+'11'!D6*2.5)*'11'!F6</f>
        <v>0</v>
      </c>
      <c r="M78" s="290">
        <f>('12'!D6*'12'!E6*2+'12'!D6*2.5)*'12'!F6</f>
        <v>0</v>
      </c>
      <c r="N78" s="290">
        <f>('13'!D6*'13'!E6*2+'13'!D6*2.5)*'13'!F6</f>
        <v>0</v>
      </c>
      <c r="O78" s="290">
        <f>('14'!D6*'14'!E6*2+'14'!D6*2.5)*'14'!F6</f>
        <v>0</v>
      </c>
      <c r="P78" s="290">
        <f>('15'!D6*'15'!E6*2+'15'!D6*2.5)*'15'!F6</f>
        <v>0</v>
      </c>
      <c r="Q78" s="290">
        <f>('16'!D6*'16'!E6*2+'16'!D6*2.5)*'16'!F6</f>
        <v>0</v>
      </c>
      <c r="R78" s="290">
        <f>('17'!D6*'17'!E6*2+'17'!D6*2.5)*'17'!F6</f>
        <v>0</v>
      </c>
      <c r="S78" s="290">
        <f>('18'!D6*'18'!E6*2+'18'!D6*2.5)*'18'!F6</f>
        <v>0</v>
      </c>
      <c r="T78" s="290">
        <f>('19'!D6*'19'!E6*2+'19'!D6*2.5)*'19'!F6</f>
        <v>0</v>
      </c>
      <c r="U78" s="290">
        <f>('20'!D6*'20'!E6*2+'20'!D6*2.5)*'20'!F6</f>
        <v>0</v>
      </c>
      <c r="V78" s="290">
        <f>('21'!D6*'21'!E6*2+'21'!D6*2.5)*'21'!F6</f>
        <v>0</v>
      </c>
      <c r="W78" s="290">
        <f>('22'!D6*'22'!E6*2+'22'!D6*2.5)*'22'!F6</f>
        <v>0</v>
      </c>
      <c r="X78" s="290">
        <f>('23'!D6*'23'!E6*2+'23'!D6*2.5)*'23'!F6</f>
        <v>0</v>
      </c>
      <c r="Y78" s="290">
        <f>('24'!D6*'24'!E6*2+'24'!D6*2.5)*'24'!F6</f>
        <v>0</v>
      </c>
      <c r="Z78" s="290">
        <f>('25'!D6*'25'!E6*2+'25'!D6*2.5)*'25'!F6</f>
        <v>0</v>
      </c>
    </row>
    <row r="79" spans="1:31" x14ac:dyDescent="0.35">
      <c r="B79" s="290">
        <f>('AP und Sort'!D7*'AP und Sort'!E7*2+'AP und Sort'!D7*2.5)*'AP und Sort'!F7</f>
        <v>26.5</v>
      </c>
      <c r="C79" s="290">
        <f>(Puffer!D7*Puffer!E7*2+Puffer!D7*2.5)*Puffer!F7</f>
        <v>0</v>
      </c>
      <c r="D79" s="290">
        <f>('3'!D7*'3'!E7*2+'3'!D7*2.5)*'3'!F7</f>
        <v>0</v>
      </c>
      <c r="E79" s="290">
        <f>('4'!D7*'4'!E7*2+'4'!D7*2.5)*'4'!F7</f>
        <v>0</v>
      </c>
      <c r="F79" s="290">
        <f>('5'!D7*'5'!E7*2+2.5*'5'!D7)*'5'!F7</f>
        <v>0</v>
      </c>
      <c r="G79" s="290">
        <f>('6'!D7*'6'!E7*2+'6'!D7*2.5)*'6'!F7</f>
        <v>0</v>
      </c>
      <c r="H79" s="290">
        <f>('7'!D7*'7'!E7*2+'7'!D7*2.5)*'7'!F7</f>
        <v>0</v>
      </c>
      <c r="I79" s="290">
        <f>('8'!D7*'8'!E7*2+'8'!D7*2.5)*'8'!F7</f>
        <v>0</v>
      </c>
      <c r="J79" s="290">
        <f>('9'!D7*'9'!E7*2+'9'!D7*2.5)*'9'!F7</f>
        <v>0</v>
      </c>
      <c r="K79" s="290">
        <f>('10'!D7*'10'!E7*2+'10'!D7*2.5)*'10'!F7</f>
        <v>0</v>
      </c>
      <c r="L79" s="290">
        <f>('11'!D7*'11'!E7*2+'11'!D7*2.5)*'11'!F7</f>
        <v>0</v>
      </c>
      <c r="M79" s="290">
        <f>('12'!D7*'12'!E7*2+'12'!D7*2.5)*'12'!F7</f>
        <v>0</v>
      </c>
      <c r="N79" s="290">
        <f>('13'!D7*'13'!E7*2+'13'!D7*2.5)*'13'!F7</f>
        <v>0</v>
      </c>
      <c r="O79" s="290">
        <f>('14'!D7*'14'!E7*2+'14'!D7*2.5)*'14'!F7</f>
        <v>0</v>
      </c>
      <c r="P79" s="290">
        <f>('15'!D7*'15'!E7*2+'15'!D7*2.5)*'15'!F7</f>
        <v>0</v>
      </c>
      <c r="Q79" s="290">
        <f>('16'!D7*'16'!E7*2+'16'!D7*2.5)*'16'!F7</f>
        <v>0</v>
      </c>
      <c r="R79" s="290">
        <f>('17'!D7*'17'!E7*2+'17'!D7*2.5)*'17'!F7</f>
        <v>0</v>
      </c>
      <c r="S79" s="290">
        <f>('18'!D7*'18'!E7*2+'18'!D7*2.5)*'18'!F7</f>
        <v>0</v>
      </c>
      <c r="T79" s="290">
        <f>('19'!D7*'19'!E7*2+'19'!D7*2.5)*'19'!F7</f>
        <v>0</v>
      </c>
      <c r="U79" s="290">
        <f>('20'!D7*'20'!E7*2+'20'!D7*2.5)*'20'!F7</f>
        <v>0</v>
      </c>
      <c r="V79" s="290">
        <f>('21'!D7*'21'!E7*2+'21'!D7*2.5)*'21'!F7</f>
        <v>0</v>
      </c>
      <c r="W79" s="290">
        <f>('22'!D7*'22'!E7*2+'22'!D7*2.5)*'22'!F7</f>
        <v>0</v>
      </c>
      <c r="X79" s="290">
        <f>('23'!D7*'23'!E7*2+'23'!D7*2.5)*'23'!F7</f>
        <v>0</v>
      </c>
      <c r="Y79" s="290">
        <f>('24'!D7*'24'!E7*2+'24'!D7*2.5)*'24'!F7</f>
        <v>0</v>
      </c>
      <c r="Z79" s="290">
        <f>('25'!D7*'25'!E7*2+'25'!D7*2.5)*'25'!F7</f>
        <v>0</v>
      </c>
    </row>
    <row r="80" spans="1:31" x14ac:dyDescent="0.35">
      <c r="B80" s="290">
        <f>('AP und Sort'!D8*'AP und Sort'!E8*2+'AP und Sort'!D8*2.5)*'AP und Sort'!F8</f>
        <v>22.5</v>
      </c>
      <c r="C80" s="290">
        <f>(Puffer!D8*Puffer!E8*2+Puffer!D8*2.5)*Puffer!F8</f>
        <v>0</v>
      </c>
      <c r="D80" s="290">
        <f>('3'!D8*'3'!E8*2+'3'!D8*2.5)*'3'!F8</f>
        <v>0</v>
      </c>
      <c r="E80" s="290">
        <f>('4'!D8*'4'!E8*2+'4'!D8*2.5)*'4'!F8</f>
        <v>0</v>
      </c>
      <c r="F80" s="290">
        <f>('5'!D8*'5'!E8*2+2.5*'5'!D8)*'5'!F8</f>
        <v>0</v>
      </c>
      <c r="G80" s="290">
        <f>('6'!D8*'6'!E8*2+'6'!D8*2.5)*'6'!F8</f>
        <v>0</v>
      </c>
      <c r="H80" s="290">
        <f>('7'!D8*'7'!E8*2+'7'!D8*2.5)*'7'!F8</f>
        <v>0</v>
      </c>
      <c r="I80" s="290">
        <f>('8'!D8*'8'!E8*2+'8'!D8*2.5)*'8'!F8</f>
        <v>0</v>
      </c>
      <c r="J80" s="290">
        <f>('9'!D8*'9'!E8*2+'9'!D8*2.5)*'9'!F8</f>
        <v>0</v>
      </c>
      <c r="K80" s="290">
        <f>('10'!D8*'10'!E8*2+'10'!D8*2.5)*'10'!F8</f>
        <v>0</v>
      </c>
      <c r="L80" s="290">
        <f>('11'!D8*'11'!E8*2+'11'!D8*2.5)*'11'!F8</f>
        <v>0</v>
      </c>
      <c r="M80" s="290">
        <f>('12'!D8*'12'!E8*2+'12'!D8*2.5)*'12'!F8</f>
        <v>0</v>
      </c>
      <c r="N80" s="290">
        <f>('13'!D8*'13'!E8*2+'13'!D8*2.5)*'13'!F8</f>
        <v>0</v>
      </c>
      <c r="O80" s="290">
        <f>('14'!D8*'14'!E8*2+'14'!D8*2.5)*'14'!F8</f>
        <v>0</v>
      </c>
      <c r="P80" s="290">
        <f>('15'!D8*'15'!E8*2+'15'!D8*2.5)*'15'!F8</f>
        <v>0</v>
      </c>
      <c r="Q80" s="290">
        <f>('16'!D8*'16'!E8*2+'16'!D8*2.5)*'16'!F8</f>
        <v>0</v>
      </c>
      <c r="R80" s="290">
        <f>('17'!D8*'17'!E8*2+'17'!D8*2.5)*'17'!F8</f>
        <v>0</v>
      </c>
      <c r="S80" s="290">
        <f>('18'!D8*'18'!E8*2+'18'!D8*2.5)*'18'!F8</f>
        <v>0</v>
      </c>
      <c r="T80" s="290">
        <f>('19'!D8*'19'!E8*2+'19'!D8*2.5)*'19'!F8</f>
        <v>0</v>
      </c>
      <c r="U80" s="290">
        <f>('20'!D8*'20'!E8*2+'20'!D8*2.5)*'20'!F8</f>
        <v>0</v>
      </c>
      <c r="V80" s="290">
        <f>('21'!D8*'21'!E8*2+'21'!D8*2.5)*'21'!F8</f>
        <v>0</v>
      </c>
      <c r="W80" s="290">
        <f>('22'!D8*'22'!E8*2+'22'!D8*2.5)*'22'!F8</f>
        <v>0</v>
      </c>
      <c r="X80" s="290">
        <f>('23'!D8*'23'!E8*2+'23'!D8*2.5)*'23'!F8</f>
        <v>0</v>
      </c>
      <c r="Y80" s="290">
        <f>('24'!D8*'24'!E8*2+'24'!D8*2.5)*'24'!F8</f>
        <v>0</v>
      </c>
      <c r="Z80" s="290">
        <f>('25'!D8*'25'!E8*2+'25'!D8*2.5)*'25'!F8</f>
        <v>0</v>
      </c>
    </row>
    <row r="81" spans="1:27" x14ac:dyDescent="0.35">
      <c r="B81" s="290">
        <f>('AP und Sort'!D9*'AP und Sort'!E9*2+'AP und Sort'!D9*2.5)*'AP und Sort'!F9</f>
        <v>24.5</v>
      </c>
      <c r="C81" s="290">
        <f>(Puffer!D9*Puffer!E9*2+Puffer!D9*2.5)*Puffer!F9</f>
        <v>0</v>
      </c>
      <c r="D81" s="290">
        <f>('3'!D9*'3'!E9*2+'3'!D9*2.5)*'3'!F9</f>
        <v>0</v>
      </c>
      <c r="E81" s="290">
        <f>('4'!D9*'4'!E9*2+'4'!D9*2.5)*'4'!F9</f>
        <v>0</v>
      </c>
      <c r="F81" s="290">
        <f>('5'!D9*'5'!E9*2+2.5*'5'!D9)*'5'!F9</f>
        <v>0</v>
      </c>
      <c r="G81" s="290">
        <f>('6'!D9*'6'!E9*2+'6'!D9*2.5)*'6'!F9</f>
        <v>0</v>
      </c>
      <c r="H81" s="290">
        <f>('7'!D9*'7'!E9*2+'7'!D9*2.5)*'7'!F9</f>
        <v>0</v>
      </c>
      <c r="I81" s="290">
        <f>('8'!D9*'8'!E9*2+'8'!D9*2.5)*'8'!F9</f>
        <v>0</v>
      </c>
      <c r="J81" s="290">
        <f>('9'!D9*'9'!E9*2+'9'!D9*2.5)*'9'!F9</f>
        <v>0</v>
      </c>
      <c r="K81" s="290">
        <f>('10'!D9*'10'!E9*2+'10'!D9*2.5)*'10'!F9</f>
        <v>0</v>
      </c>
      <c r="L81" s="290">
        <f>('11'!D9*'11'!E9*2+'11'!D9*2.5)*'11'!F9</f>
        <v>0</v>
      </c>
      <c r="M81" s="290">
        <f>('12'!D9*'12'!E9*2+'12'!D9*2.5)*'12'!F9</f>
        <v>0</v>
      </c>
      <c r="N81" s="290">
        <f>('13'!D9*'13'!E9*2+'13'!D9*2.5)*'13'!F9</f>
        <v>0</v>
      </c>
      <c r="O81" s="290">
        <f>('14'!D9*'14'!E9*2+'14'!D9*2.5)*'14'!F9</f>
        <v>0</v>
      </c>
      <c r="P81" s="290">
        <f>('15'!D9*'15'!E9*2+'15'!D9*2.5)*'15'!F9</f>
        <v>0</v>
      </c>
      <c r="Q81" s="290">
        <f>('16'!D9*'16'!E9*2+'16'!D9*2.5)*'16'!F9</f>
        <v>0</v>
      </c>
      <c r="R81" s="290">
        <f>('17'!D9*'17'!E9*2+'17'!D9*2.5)*'17'!F9</f>
        <v>0</v>
      </c>
      <c r="S81" s="290">
        <f>('18'!D9*'18'!E9*2+'18'!D9*2.5)*'18'!F9</f>
        <v>0</v>
      </c>
      <c r="T81" s="290">
        <f>('19'!D9*'19'!E9*2+'19'!D9*2.5)*'19'!F9</f>
        <v>0</v>
      </c>
      <c r="U81" s="290">
        <f>('20'!D9*'20'!E9*2+'20'!D9*2.5)*'20'!F9</f>
        <v>0</v>
      </c>
      <c r="V81" s="290">
        <f>('21'!D9*'21'!E9*2+'21'!D9*2.5)*'21'!F9</f>
        <v>0</v>
      </c>
      <c r="W81" s="290">
        <f>('22'!D9*'22'!E9*2+'22'!D9*2.5)*'22'!F9</f>
        <v>0</v>
      </c>
      <c r="X81" s="290">
        <f>('23'!D9*'23'!E9*2+'23'!D9*2.5)*'23'!F9</f>
        <v>0</v>
      </c>
      <c r="Y81" s="290">
        <f>('24'!D9*'24'!E9*2+'24'!D9*2.5)*'24'!F9</f>
        <v>0</v>
      </c>
      <c r="Z81" s="290">
        <f>('25'!D9*'25'!E9*2+'25'!D9*2.5)*'25'!F9</f>
        <v>0</v>
      </c>
    </row>
    <row r="82" spans="1:27" x14ac:dyDescent="0.35">
      <c r="B82" s="290">
        <f>('AP und Sort'!D10*'AP und Sort'!E10*2+'AP und Sort'!D10*2.5)*'AP und Sort'!F10</f>
        <v>0</v>
      </c>
      <c r="C82" s="290">
        <f>(Puffer!D10*Puffer!E10*2+Puffer!D10*2.5)*Puffer!F10</f>
        <v>0</v>
      </c>
      <c r="D82" s="290">
        <f>('3'!D10*'3'!E10*2+'3'!D10*2.5)*'3'!F10</f>
        <v>0</v>
      </c>
      <c r="E82" s="290">
        <f>('4'!D10*'4'!E10*2+'4'!D10*2.5)*'4'!F10</f>
        <v>0</v>
      </c>
      <c r="F82" s="290">
        <f>('5'!D10*'5'!E10*2+2.5*'5'!D10)*'5'!F10</f>
        <v>0</v>
      </c>
      <c r="G82" s="290">
        <f>('6'!D10*'6'!E10*2+'6'!D10*2.5)*'6'!F10</f>
        <v>0</v>
      </c>
      <c r="H82" s="290">
        <f>('7'!D10*'7'!E10*2+'7'!D10*2.5)*'7'!F10</f>
        <v>0</v>
      </c>
      <c r="I82" s="290">
        <f>('8'!D10*'8'!E10*2+'8'!D10*2.5)*'8'!F10</f>
        <v>0</v>
      </c>
      <c r="J82" s="290">
        <f>('9'!D10*'9'!E10*2+'9'!D10*2.5)*'9'!F10</f>
        <v>0</v>
      </c>
      <c r="K82" s="290">
        <f>('10'!D10*'10'!E10*2+'10'!D10*2.5)*'10'!F10</f>
        <v>0</v>
      </c>
      <c r="L82" s="290">
        <f>('11'!D10*'11'!E10*2+'11'!D10*2.5)*'11'!F10</f>
        <v>0</v>
      </c>
      <c r="M82" s="290">
        <f>('12'!D10*'12'!E10*2+'12'!D10*2.5)*'12'!F10</f>
        <v>0</v>
      </c>
      <c r="N82" s="290">
        <f>('13'!D10*'13'!E10*2+'13'!D10*2.5)*'13'!F10</f>
        <v>0</v>
      </c>
      <c r="O82" s="290">
        <f>('14'!D10*'14'!E10*2+'14'!D10*2.5)*'14'!F10</f>
        <v>0</v>
      </c>
      <c r="P82" s="290">
        <f>('15'!D10*'15'!E10*2+'15'!D10*2.5)*'15'!F10</f>
        <v>0</v>
      </c>
      <c r="Q82" s="290">
        <f>('16'!D10*'16'!E10*2+'16'!D10*2.5)*'16'!F10</f>
        <v>0</v>
      </c>
      <c r="R82" s="290">
        <f>('17'!D10*'17'!E10*2+'17'!D10*2.5)*'17'!F10</f>
        <v>0</v>
      </c>
      <c r="S82" s="290">
        <f>('18'!D10*'18'!E10*2+'18'!D10*2.5)*'18'!F10</f>
        <v>0</v>
      </c>
      <c r="T82" s="290">
        <f>('19'!D10*'19'!E10*2+'19'!D10*2.5)*'19'!F10</f>
        <v>0</v>
      </c>
      <c r="U82" s="290">
        <f>('20'!D10*'20'!E10*2+'20'!D10*2.5)*'20'!F10</f>
        <v>0</v>
      </c>
      <c r="V82" s="290">
        <f>('21'!D10*'21'!E10*2+'21'!D10*2.5)*'21'!F10</f>
        <v>0</v>
      </c>
      <c r="W82" s="290">
        <f>('22'!D10*'22'!E10*2+'22'!D10*2.5)*'22'!F10</f>
        <v>0</v>
      </c>
      <c r="X82" s="290">
        <f>('23'!D10*'23'!E10*2+'23'!D10*2.5)*'23'!F10</f>
        <v>0</v>
      </c>
      <c r="Y82" s="290">
        <f>('24'!D10*'24'!E10*2+'24'!D10*2.5)*'24'!F10</f>
        <v>0</v>
      </c>
      <c r="Z82" s="290">
        <f>('25'!D10*'25'!E10*2+'25'!D10*2.5)*'25'!F10</f>
        <v>0</v>
      </c>
    </row>
    <row r="83" spans="1:27" x14ac:dyDescent="0.35">
      <c r="B83" s="290">
        <f>('AP und Sort'!D11*'AP und Sort'!E11*2+'AP und Sort'!D11*2.5)*'AP und Sort'!F11</f>
        <v>0</v>
      </c>
      <c r="C83" s="290">
        <f>(Puffer!D11*Puffer!E11*2+Puffer!D11*2.5)*Puffer!F11</f>
        <v>0</v>
      </c>
      <c r="D83" s="290">
        <f>('3'!D11*'3'!E11*2+'3'!D11*2.5)*'3'!F11</f>
        <v>0</v>
      </c>
      <c r="E83" s="290">
        <f>('4'!D11*'4'!E11*2+'4'!D11*2.5)*'4'!F11</f>
        <v>0</v>
      </c>
      <c r="F83" s="290">
        <f>('5'!D11*'5'!E11*2+2.5*'5'!D11)*'5'!F11</f>
        <v>0</v>
      </c>
      <c r="G83" s="290">
        <f>('6'!D11*'6'!E11*2+'6'!D11*2.5)*'6'!F11</f>
        <v>0</v>
      </c>
      <c r="H83" s="290">
        <f>('7'!D11*'7'!E11*2+'7'!D11*2.5)*'7'!F11</f>
        <v>0</v>
      </c>
      <c r="I83" s="290">
        <f>('8'!D11*'8'!E11*2+'8'!D11*2.5)*'8'!F11</f>
        <v>0</v>
      </c>
      <c r="J83" s="290">
        <f>('9'!D11*'9'!E11*2+'9'!D11*2.5)*'9'!F11</f>
        <v>0</v>
      </c>
      <c r="K83" s="290">
        <f>('10'!D11*'10'!E11*2+'10'!D11*2.5)*'10'!F11</f>
        <v>0</v>
      </c>
      <c r="L83" s="290">
        <f>('11'!D11*'11'!E11*2+'11'!D11*2.5)*'11'!F11</f>
        <v>0</v>
      </c>
      <c r="M83" s="290">
        <f>('12'!D11*'12'!E11*2+'12'!D11*2.5)*'12'!F11</f>
        <v>0</v>
      </c>
      <c r="N83" s="290">
        <f>('13'!D11*'13'!E11*2+'13'!D11*2.5)*'13'!F11</f>
        <v>0</v>
      </c>
      <c r="O83" s="290">
        <f>('14'!D11*'14'!E11*2+'14'!D11*2.5)*'14'!F11</f>
        <v>0</v>
      </c>
      <c r="P83" s="290">
        <f>('15'!D11*'15'!E11*2+'15'!D11*2.5)*'15'!F11</f>
        <v>0</v>
      </c>
      <c r="Q83" s="290">
        <f>('16'!D11*'16'!E11*2+'16'!D11*2.5)*'16'!F11</f>
        <v>0</v>
      </c>
      <c r="R83" s="290">
        <f>('17'!D11*'17'!E11*2+'17'!D11*2.5)*'17'!F11</f>
        <v>0</v>
      </c>
      <c r="S83" s="290">
        <f>('18'!D11*'18'!E11*2+'18'!D11*2.5)*'18'!F11</f>
        <v>0</v>
      </c>
      <c r="T83" s="290">
        <f>('19'!D11*'19'!E11*2+'19'!D11*2.5)*'19'!F11</f>
        <v>0</v>
      </c>
      <c r="U83" s="290">
        <f>('20'!D11*'20'!E11*2+'20'!D11*2.5)*'20'!F11</f>
        <v>0</v>
      </c>
      <c r="V83" s="290">
        <f>('21'!D11*'21'!E11*2+'21'!D11*2.5)*'21'!F11</f>
        <v>0</v>
      </c>
      <c r="W83" s="290">
        <f>('22'!D11*'22'!E11*2+'22'!D11*2.5)*'22'!F11</f>
        <v>0</v>
      </c>
      <c r="X83" s="290">
        <f>('23'!D11*'23'!E11*2+'23'!D11*2.5)*'23'!F11</f>
        <v>0</v>
      </c>
      <c r="Y83" s="290">
        <f>('24'!D11*'24'!E11*2+'24'!D11*2.5)*'24'!F11</f>
        <v>0</v>
      </c>
      <c r="Z83" s="290">
        <f>('25'!D11*'25'!E11*2+'25'!D11*2.5)*'25'!F11</f>
        <v>0</v>
      </c>
    </row>
    <row r="84" spans="1:27" x14ac:dyDescent="0.35">
      <c r="B84" s="290">
        <f>('AP und Sort'!D12*'AP und Sort'!E12*2+'AP und Sort'!D12*2.5)*'AP und Sort'!F12</f>
        <v>0</v>
      </c>
      <c r="C84" s="290">
        <f>(Puffer!D12*Puffer!E12*2+Puffer!D12*2.5)*Puffer!F12</f>
        <v>0</v>
      </c>
      <c r="D84" s="290">
        <f>('3'!D12*'3'!E12*2+'3'!D12*2.5)*'3'!F12</f>
        <v>0</v>
      </c>
      <c r="E84" s="290">
        <f>('4'!D12*'4'!E12*2+'4'!D12*2.5)*'4'!F12</f>
        <v>0</v>
      </c>
      <c r="F84" s="290">
        <f>('5'!D12*'5'!E12*2+2.5*'5'!D12)*'5'!F12</f>
        <v>0</v>
      </c>
      <c r="G84" s="290">
        <f>('6'!D12*'6'!E12*2+'6'!D12*2.5)*'6'!F12</f>
        <v>0</v>
      </c>
      <c r="H84" s="290">
        <f>('7'!D12*'7'!E12*2+'7'!D12*2.5)*'7'!F12</f>
        <v>0</v>
      </c>
      <c r="I84" s="290">
        <f>('8'!D12*'8'!E12*2+'8'!D12*2.5)*'8'!F12</f>
        <v>0</v>
      </c>
      <c r="J84" s="290">
        <f>('9'!D12*'9'!E12*2+'9'!D12*2.5)*'9'!F12</f>
        <v>0</v>
      </c>
      <c r="K84" s="290">
        <f>('10'!D12*'10'!E12*2+'10'!D12*2.5)*'10'!F12</f>
        <v>0</v>
      </c>
      <c r="L84" s="290">
        <f>('11'!D12*'11'!E12*2+'11'!D12*2.5)*'11'!F12</f>
        <v>0</v>
      </c>
      <c r="M84" s="290">
        <f>('12'!D12*'12'!E12*2+'12'!D12*2.5)*'12'!F12</f>
        <v>0</v>
      </c>
      <c r="N84" s="290">
        <f>('13'!D12*'13'!E12*2+'13'!D12*2.5)*'13'!F12</f>
        <v>0</v>
      </c>
      <c r="O84" s="290">
        <f>('14'!D12*'14'!E12*2+'14'!D12*2.5)*'14'!F12</f>
        <v>0</v>
      </c>
      <c r="P84" s="290">
        <f>('15'!D12*'15'!E12*2+'15'!D12*2.5)*'15'!F12</f>
        <v>0</v>
      </c>
      <c r="Q84" s="290">
        <f>('16'!D12*'16'!E12*2+'16'!D12*2.5)*'16'!F12</f>
        <v>0</v>
      </c>
      <c r="R84" s="290">
        <f>('17'!D12*'17'!E12*2+'17'!D12*2.5)*'17'!F12</f>
        <v>0</v>
      </c>
      <c r="S84" s="290">
        <f>('18'!D12*'18'!E12*2+'18'!D12*2.5)*'18'!F12</f>
        <v>0</v>
      </c>
      <c r="T84" s="290">
        <f>('19'!D12*'19'!E12*2+'19'!D12*2.5)*'19'!F12</f>
        <v>0</v>
      </c>
      <c r="U84" s="290">
        <f>('20'!D12*'20'!E12*2+'20'!D12*2.5)*'20'!F12</f>
        <v>0</v>
      </c>
      <c r="V84" s="290">
        <f>('21'!D12*'21'!E12*2+'21'!D12*2.5)*'21'!F12</f>
        <v>0</v>
      </c>
      <c r="W84" s="290">
        <f>('22'!D12*'22'!E12*2+'22'!D12*2.5)*'22'!F12</f>
        <v>0</v>
      </c>
      <c r="X84" s="290">
        <f>('23'!D12*'23'!E12*2+'23'!D12*2.5)*'23'!F12</f>
        <v>0</v>
      </c>
      <c r="Y84" s="290">
        <f>('24'!D12*'24'!E12*2+'24'!D12*2.5)*'24'!F12</f>
        <v>0</v>
      </c>
      <c r="Z84" s="290">
        <f>('25'!D12*'25'!E12*2+'25'!D12*2.5)*'25'!F12</f>
        <v>0</v>
      </c>
    </row>
    <row r="85" spans="1:27" x14ac:dyDescent="0.35">
      <c r="B85" s="290">
        <f>('AP und Sort'!D13*'AP und Sort'!E13*2+'AP und Sort'!D13*2.5)*'AP und Sort'!F13</f>
        <v>0</v>
      </c>
      <c r="C85" s="290">
        <f>(Puffer!D13*Puffer!E13*2+Puffer!D13*2.5)*Puffer!F13</f>
        <v>0</v>
      </c>
      <c r="D85" s="290">
        <f>('3'!D13*'3'!E13*2+'3'!D13*2.5)*'3'!F13</f>
        <v>0</v>
      </c>
      <c r="E85" s="290">
        <f>('4'!D13*'4'!E13*2+'4'!D13*2.5)*'4'!F13</f>
        <v>0</v>
      </c>
      <c r="F85" s="290">
        <f>('5'!D13*'5'!E13*2+2.5*'5'!D13)*'5'!F13</f>
        <v>0</v>
      </c>
      <c r="G85" s="290">
        <f>('6'!D13*'6'!E13*2+'6'!D13*2.5)*'6'!F13</f>
        <v>0</v>
      </c>
      <c r="H85" s="290">
        <f>('7'!D13*'7'!E13*2+'7'!D13*2.5)*'7'!F13</f>
        <v>0</v>
      </c>
      <c r="I85" s="290">
        <f>('8'!D13*'8'!E13*2+'8'!D13*2.5)*'8'!F13</f>
        <v>0</v>
      </c>
      <c r="J85" s="290">
        <f>('9'!D13*'9'!E13*2+'9'!D13*2.5)*'9'!F13</f>
        <v>0</v>
      </c>
      <c r="K85" s="290">
        <f>('10'!D13*'10'!E13*2+'10'!D13*2.5)*'10'!F13</f>
        <v>0</v>
      </c>
      <c r="L85" s="290">
        <f>('11'!D13*'11'!E13*2+'11'!D13*2.5)*'11'!F13</f>
        <v>0</v>
      </c>
      <c r="M85" s="290">
        <f>('12'!D13*'12'!E13*2+'12'!D13*2.5)*'12'!F13</f>
        <v>0</v>
      </c>
      <c r="N85" s="290">
        <f>('13'!D13*'13'!E13*2+'13'!D13*2.5)*'13'!F13</f>
        <v>0</v>
      </c>
      <c r="O85" s="290">
        <f>('14'!D13*'14'!E13*2+'14'!D13*2.5)*'14'!F13</f>
        <v>0</v>
      </c>
      <c r="P85" s="290">
        <f>('15'!D13*'15'!E13*2+'15'!D13*2.5)*'15'!F13</f>
        <v>0</v>
      </c>
      <c r="Q85" s="290">
        <f>('16'!D13*'16'!E13*2+'16'!D13*2.5)*'16'!F13</f>
        <v>0</v>
      </c>
      <c r="R85" s="290">
        <f>('17'!D13*'17'!E13*2+'17'!D13*2.5)*'17'!F13</f>
        <v>0</v>
      </c>
      <c r="S85" s="290">
        <f>('18'!D13*'18'!E13*2+'18'!D13*2.5)*'18'!F13</f>
        <v>0</v>
      </c>
      <c r="T85" s="290">
        <f>('19'!D13*'19'!E13*2+'19'!D13*2.5)*'19'!F13</f>
        <v>0</v>
      </c>
      <c r="U85" s="290">
        <f>('20'!D13*'20'!E13*2+'20'!D13*2.5)*'20'!F13</f>
        <v>0</v>
      </c>
      <c r="V85" s="290">
        <f>('21'!D13*'21'!E13*2+'21'!D13*2.5)*'21'!F13</f>
        <v>0</v>
      </c>
      <c r="W85" s="290">
        <f>('22'!D13*'22'!E13*2+'22'!D13*2.5)*'22'!F13</f>
        <v>0</v>
      </c>
      <c r="X85" s="290">
        <f>('23'!D13*'23'!E13*2+'23'!D13*2.5)*'23'!F13</f>
        <v>0</v>
      </c>
      <c r="Y85" s="290">
        <f>('24'!D13*'24'!E13*2+'24'!D13*2.5)*'24'!F13</f>
        <v>0</v>
      </c>
      <c r="Z85" s="290">
        <f>('25'!D13*'25'!E13*2+'25'!D13*2.5)*'25'!F13</f>
        <v>0</v>
      </c>
    </row>
    <row r="86" spans="1:27" x14ac:dyDescent="0.35">
      <c r="A86" t="s">
        <v>17</v>
      </c>
      <c r="B86" s="190">
        <f t="shared" ref="B86:Z86" si="44">SUM(B75:B85)</f>
        <v>111</v>
      </c>
      <c r="C86" s="190">
        <f t="shared" si="44"/>
        <v>135</v>
      </c>
      <c r="D86" s="190">
        <f t="shared" si="44"/>
        <v>0</v>
      </c>
      <c r="E86" s="190">
        <f t="shared" si="44"/>
        <v>0</v>
      </c>
      <c r="F86" s="190">
        <f t="shared" si="44"/>
        <v>0</v>
      </c>
      <c r="G86" s="190">
        <f t="shared" si="44"/>
        <v>0</v>
      </c>
      <c r="H86" s="190">
        <f t="shared" si="44"/>
        <v>0</v>
      </c>
      <c r="I86" s="190">
        <f t="shared" si="44"/>
        <v>0</v>
      </c>
      <c r="J86" s="190">
        <f t="shared" si="44"/>
        <v>0</v>
      </c>
      <c r="K86" s="190">
        <f t="shared" si="44"/>
        <v>0</v>
      </c>
      <c r="L86" s="190">
        <f t="shared" si="44"/>
        <v>0</v>
      </c>
      <c r="M86" s="190">
        <f t="shared" si="44"/>
        <v>0</v>
      </c>
      <c r="N86" s="190">
        <f t="shared" si="44"/>
        <v>0</v>
      </c>
      <c r="O86" s="190">
        <f t="shared" si="44"/>
        <v>0</v>
      </c>
      <c r="P86" s="190">
        <f t="shared" si="44"/>
        <v>0</v>
      </c>
      <c r="Q86" s="190">
        <f t="shared" si="44"/>
        <v>0</v>
      </c>
      <c r="R86" s="190">
        <f t="shared" si="44"/>
        <v>0</v>
      </c>
      <c r="S86" s="190">
        <f t="shared" si="44"/>
        <v>0</v>
      </c>
      <c r="T86" s="190">
        <f t="shared" si="44"/>
        <v>0</v>
      </c>
      <c r="U86" s="190">
        <f t="shared" si="44"/>
        <v>0</v>
      </c>
      <c r="V86" s="190">
        <f t="shared" si="44"/>
        <v>0</v>
      </c>
      <c r="W86" s="190">
        <f t="shared" si="44"/>
        <v>0</v>
      </c>
      <c r="X86" s="190">
        <f t="shared" si="44"/>
        <v>0</v>
      </c>
      <c r="Y86" s="190">
        <f t="shared" si="44"/>
        <v>0</v>
      </c>
      <c r="Z86" s="190">
        <f t="shared" si="44"/>
        <v>0</v>
      </c>
      <c r="AA86" s="190">
        <f>SUM(B86:Z86)</f>
        <v>246</v>
      </c>
    </row>
    <row r="88" spans="1:27" x14ac:dyDescent="0.35">
      <c r="A88" t="s">
        <v>259</v>
      </c>
      <c r="B88" s="190">
        <f>('AP und Sort'!E15+'AP und Sort'!F15*2.5-Tabellen!B86)+('AP und Sort'!D15-'AP und Sort'!F15)*2.5</f>
        <v>104</v>
      </c>
      <c r="C88" s="190">
        <f>(Puffer!E15+Puffer!F15*2.5-Tabellen!C86)+(Puffer!D15-Puffer!F15)*2.5</f>
        <v>460.5</v>
      </c>
      <c r="D88" s="190">
        <f>('3'!E15+'3'!F15*2.5-Tabellen!D86)+('3'!D15-'3'!F15)*2.5</f>
        <v>0</v>
      </c>
      <c r="E88" s="190">
        <f>('4'!E15+'4'!F15*2.5-Tabellen!E86)+('4'!D15-'4'!F15)*2.5</f>
        <v>0</v>
      </c>
      <c r="F88" s="190">
        <f>('5'!E15+'5'!F15*2.5-Tabellen!F86)+('5'!D15-'5'!F15)*2.5</f>
        <v>0</v>
      </c>
      <c r="G88" s="190">
        <f>('6'!E15+'6'!F15*2.5-Tabellen!G86)+('6'!D15-'6'!F15)*2.5</f>
        <v>0</v>
      </c>
      <c r="H88" s="190">
        <f>('7'!E15+'7'!F15*2.5-Tabellen!H86)+('7'!D15-'7'!F15)*2.5</f>
        <v>0</v>
      </c>
      <c r="I88" s="190">
        <f>('8'!E15+'8'!F15*2.5-Tabellen!I86)+('8'!D15-'8'!F15)*2.5</f>
        <v>0</v>
      </c>
      <c r="J88" s="190">
        <f>('9'!E15+'9'!F15*2.5-Tabellen!J86)+('9'!D15-'9'!F15)*2.5</f>
        <v>0</v>
      </c>
      <c r="K88" s="190">
        <f>('10'!E15+'10'!F15*2.5-Tabellen!K86)+('10'!D15-'10'!F15)*2.5</f>
        <v>0</v>
      </c>
      <c r="L88" s="190">
        <f>('11'!E15+'11'!F15*2.5-Tabellen!L86)+('11'!D15-'11'!F15)*2.5</f>
        <v>0</v>
      </c>
      <c r="M88" s="190">
        <f>('12'!E15+'12'!F15*2.5-Tabellen!M86)+('12'!D15-'12'!F15)*2.5</f>
        <v>0</v>
      </c>
      <c r="N88" s="190">
        <f>('13'!E15+'13'!F15*2.5-Tabellen!N86)+('13'!D15-'13'!F15)*2.5</f>
        <v>0</v>
      </c>
      <c r="O88" s="190">
        <f>('14'!E15+'14'!F15*2.5-Tabellen!O86)+('14'!D15-'14'!F15)*2.5</f>
        <v>0</v>
      </c>
      <c r="P88" s="190">
        <f>('15'!E15+'15'!F15*2.5-Tabellen!P86)+('15'!D15-'15'!F15)*2.5</f>
        <v>0</v>
      </c>
      <c r="Q88" s="190">
        <f>('16'!E15+'16'!F15*2.5-Tabellen!Q86)+('16'!D15-'16'!F15)*2.5</f>
        <v>0</v>
      </c>
      <c r="R88" s="190">
        <f>('17'!E15+'17'!F15*2.5-Tabellen!R86)+('17'!D15-'17'!F15)*2.5</f>
        <v>0</v>
      </c>
      <c r="S88" s="190">
        <f>('18'!E15+'18'!F15*2.5-Tabellen!S86)+('18'!D15-'18'!F15)*2.5</f>
        <v>0</v>
      </c>
      <c r="T88" s="190">
        <f>('19'!E15+'19'!F15*2.5-Tabellen!T86)+('19'!D15-'19'!F15)*2.5</f>
        <v>0</v>
      </c>
      <c r="U88" s="190">
        <f>('20'!E15+'20'!F15*2.5-Tabellen!U86)+('20'!D15-'20'!F15)*2.5</f>
        <v>0</v>
      </c>
      <c r="V88" s="190">
        <f>('21'!E15+'21'!F15*2.5-Tabellen!V86)+('21'!D15-'21'!F15)*2.5</f>
        <v>0</v>
      </c>
      <c r="W88" s="190">
        <f>('22'!E15+'22'!F15*2.5-Tabellen!W86)+('22'!D15-'22'!F15)*2.5</f>
        <v>0</v>
      </c>
      <c r="X88" s="190">
        <f>('23'!E15+'23'!F15*2.5-Tabellen!X86)+('23'!D15-'23'!F15)*2.5</f>
        <v>0</v>
      </c>
      <c r="Y88" s="190">
        <f>('24'!E15+'24'!F15*2.5-Tabellen!Y86)+('24'!D15-'24'!F15)*2.5</f>
        <v>0</v>
      </c>
      <c r="Z88" s="190">
        <f>('25'!E15+'25'!F15*2.5-Tabellen!Z86)+('25'!D15-'25'!F15)*2.5</f>
        <v>0</v>
      </c>
      <c r="AA88" s="190">
        <f>SUM(B88:Z88)</f>
        <v>564.5</v>
      </c>
    </row>
  </sheetData>
  <mergeCells count="13">
    <mergeCell ref="AA67:AB67"/>
    <mergeCell ref="Y58:Z58"/>
    <mergeCell ref="Y59:Z59"/>
    <mergeCell ref="Y60:Z60"/>
    <mergeCell ref="Y61:Z61"/>
    <mergeCell ref="Y62:Z62"/>
    <mergeCell ref="Y63:Z63"/>
    <mergeCell ref="AF61:AG61"/>
    <mergeCell ref="AF62:AG62"/>
    <mergeCell ref="AF63:AG63"/>
    <mergeCell ref="T64:Z64"/>
    <mergeCell ref="Q1:R1"/>
    <mergeCell ref="AB57:AD57"/>
  </mergeCells>
  <phoneticPr fontId="0" type="noConversion"/>
  <pageMargins left="0.7" right="0.7" top="0.78740157499999996" bottom="0.78740157499999996" header="0.3" footer="0.3"/>
  <pageSetup paperSize="9" scale="37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S61"/>
  <sheetViews>
    <sheetView topLeftCell="A7" zoomScale="85" zoomScaleNormal="85" workbookViewId="0">
      <selection activeCell="E15" sqref="E15"/>
    </sheetView>
  </sheetViews>
  <sheetFormatPr baseColWidth="10" defaultRowHeight="14.5" x14ac:dyDescent="0.35"/>
  <cols>
    <col min="1" max="1" width="21.81640625" bestFit="1" customWidth="1"/>
    <col min="2" max="2" width="12.7265625" customWidth="1"/>
    <col min="3" max="3" width="11.26953125" customWidth="1"/>
    <col min="4" max="6" width="10.453125" bestFit="1" customWidth="1"/>
    <col min="7" max="7" width="11.1796875" customWidth="1"/>
    <col min="8" max="8" width="12.54296875" bestFit="1" customWidth="1"/>
    <col min="9" max="9" width="11.26953125" customWidth="1"/>
    <col min="10" max="10" width="13" customWidth="1"/>
    <col min="11" max="15" width="10.453125" bestFit="1" customWidth="1"/>
    <col min="16" max="16" width="9.26953125" bestFit="1" customWidth="1"/>
    <col min="17" max="17" width="10.453125" bestFit="1" customWidth="1"/>
    <col min="18" max="18" width="8.453125" customWidth="1"/>
    <col min="19" max="19" width="10.7265625" bestFit="1" customWidth="1"/>
    <col min="20" max="20" width="9" customWidth="1"/>
  </cols>
  <sheetData>
    <row r="1" spans="1:18" ht="24.75" customHeight="1" thickBot="1" x14ac:dyDescent="0.4">
      <c r="A1" s="101" t="s">
        <v>74</v>
      </c>
      <c r="B1" s="102" t="str">
        <f>Übersicht!C3</f>
        <v>Faurecia Entwurf 1</v>
      </c>
      <c r="C1" s="102"/>
      <c r="D1" s="102"/>
      <c r="E1" s="102" t="s">
        <v>75</v>
      </c>
      <c r="F1" s="102">
        <f>Übersicht!D3</f>
        <v>44322</v>
      </c>
      <c r="G1" s="102"/>
      <c r="H1" s="102"/>
      <c r="I1" s="102" t="s">
        <v>33</v>
      </c>
      <c r="J1" s="105" t="str">
        <f>Übersicht!D2</f>
        <v>Datum</v>
      </c>
      <c r="K1" s="107"/>
      <c r="L1" s="107"/>
      <c r="M1" s="107"/>
      <c r="N1" s="107"/>
      <c r="O1" s="107"/>
      <c r="P1" s="108"/>
      <c r="Q1" s="108"/>
      <c r="R1" s="108"/>
    </row>
    <row r="2" spans="1:18" ht="24.75" customHeight="1" x14ac:dyDescent="0.35">
      <c r="A2" s="100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8"/>
      <c r="Q2" s="108"/>
      <c r="R2" s="108"/>
    </row>
    <row r="3" spans="1:18" x14ac:dyDescent="0.35">
      <c r="A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x14ac:dyDescent="0.35">
      <c r="A4" s="108" t="s">
        <v>14</v>
      </c>
      <c r="B4" t="s">
        <v>111</v>
      </c>
      <c r="C4" t="s">
        <v>112</v>
      </c>
      <c r="D4" t="s">
        <v>113</v>
      </c>
      <c r="E4" t="s">
        <v>114</v>
      </c>
      <c r="F4" t="s">
        <v>115</v>
      </c>
      <c r="G4" t="s">
        <v>116</v>
      </c>
      <c r="H4" t="s">
        <v>149</v>
      </c>
      <c r="I4" t="s">
        <v>121</v>
      </c>
      <c r="J4" t="s">
        <v>11</v>
      </c>
    </row>
    <row r="6" spans="1:18" x14ac:dyDescent="0.35">
      <c r="A6" s="64" t="s">
        <v>125</v>
      </c>
      <c r="B6" s="202">
        <f>Steuerg!B32</f>
        <v>39</v>
      </c>
      <c r="C6" s="202">
        <f>Steuerg!C32</f>
        <v>27</v>
      </c>
      <c r="D6" s="202">
        <f>Steuerg!D32+Taschen!D7</f>
        <v>26</v>
      </c>
      <c r="E6" s="202">
        <f>Steuerg!E32</f>
        <v>29</v>
      </c>
      <c r="F6" s="202">
        <f>Steuerg!F32</f>
        <v>57</v>
      </c>
      <c r="G6" s="202">
        <f>Steuerg!G32</f>
        <v>200</v>
      </c>
      <c r="H6" s="202">
        <f>Steuerg!H32</f>
        <v>120</v>
      </c>
      <c r="I6" s="202">
        <f>Steuerg!N32</f>
        <v>10</v>
      </c>
      <c r="J6" s="202">
        <f>Steuerg!O32</f>
        <v>34</v>
      </c>
    </row>
    <row r="8" spans="1:18" x14ac:dyDescent="0.35">
      <c r="A8" s="108" t="s">
        <v>14</v>
      </c>
      <c r="B8" t="s">
        <v>225</v>
      </c>
      <c r="C8" t="s">
        <v>226</v>
      </c>
      <c r="D8" t="s">
        <v>244</v>
      </c>
      <c r="E8" t="s">
        <v>245</v>
      </c>
      <c r="F8" t="s">
        <v>16</v>
      </c>
      <c r="G8" t="s">
        <v>120</v>
      </c>
      <c r="H8" t="s">
        <v>117</v>
      </c>
      <c r="I8" t="s">
        <v>118</v>
      </c>
      <c r="J8" t="s">
        <v>119</v>
      </c>
      <c r="K8" t="s">
        <v>455</v>
      </c>
    </row>
    <row r="10" spans="1:18" x14ac:dyDescent="0.35">
      <c r="A10" s="64" t="s">
        <v>125</v>
      </c>
      <c r="B10" s="203">
        <f>Steuerg!T31</f>
        <v>713</v>
      </c>
      <c r="C10" s="203">
        <f>'AP und Sort'!E28+Puffer!E28+'3'!E28+'4'!E28+'5'!E28+'6'!E28+'7'!E28+'8'!E28+'9'!E28+'10'!E28+'11'!E28+'12'!E28+'13'!E28+'14'!E28+'15'!E28+'16'!E28+'17'!E28+'18'!E28+'19'!E28+'20'!E28+'21'!E28+'22'!E28+'23'!E28+'24'!E28+'25'!E28</f>
        <v>1736</v>
      </c>
      <c r="D10" s="203">
        <f>ROUNDUP(Tabellen!AA86,0)</f>
        <v>246</v>
      </c>
      <c r="E10" s="203">
        <f>ROUNDUP(Tabellen!AA88,0)</f>
        <v>565</v>
      </c>
      <c r="F10" s="202">
        <f>Steuerg!L32</f>
        <v>10</v>
      </c>
      <c r="G10" s="202">
        <f>Steuerg!M32</f>
        <v>0</v>
      </c>
      <c r="H10" s="202">
        <f>Steuerg!I32</f>
        <v>0</v>
      </c>
      <c r="I10" s="202">
        <f>Steuerg!J32</f>
        <v>0</v>
      </c>
      <c r="J10" s="202">
        <f>Steuerg!K32</f>
        <v>0</v>
      </c>
      <c r="K10" s="202">
        <f>Steuerg!R32+Taschen!Q15</f>
        <v>2</v>
      </c>
    </row>
    <row r="11" spans="1:18" x14ac:dyDescent="0.35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18" x14ac:dyDescent="0.35">
      <c r="D12" t="s">
        <v>358</v>
      </c>
      <c r="E12" t="s">
        <v>359</v>
      </c>
      <c r="G12" s="237"/>
      <c r="I12" s="237"/>
    </row>
    <row r="13" spans="1:18" x14ac:dyDescent="0.35">
      <c r="A13" t="s">
        <v>228</v>
      </c>
      <c r="B13" s="64">
        <f>Übersicht!B48</f>
        <v>35000</v>
      </c>
      <c r="C13" t="s">
        <v>360</v>
      </c>
      <c r="D13">
        <v>2.5000000000000001E-4</v>
      </c>
      <c r="E13" s="215">
        <f>B13*D13</f>
        <v>8.75</v>
      </c>
      <c r="F13" s="215"/>
    </row>
    <row r="14" spans="1:18" x14ac:dyDescent="0.35">
      <c r="A14" t="s">
        <v>229</v>
      </c>
      <c r="B14" s="64">
        <f>Übersicht!B49</f>
        <v>0</v>
      </c>
      <c r="C14" t="s">
        <v>361</v>
      </c>
      <c r="D14">
        <v>5.5599999999999996E-4</v>
      </c>
      <c r="E14" s="215">
        <f>B14*D14</f>
        <v>0</v>
      </c>
      <c r="F14" s="215"/>
    </row>
    <row r="15" spans="1:18" x14ac:dyDescent="0.35">
      <c r="A15" t="s">
        <v>202</v>
      </c>
      <c r="B15" s="64">
        <f>Übersicht!B50</f>
        <v>0</v>
      </c>
      <c r="C15" t="s">
        <v>362</v>
      </c>
      <c r="D15">
        <v>1.67E-3</v>
      </c>
      <c r="E15" s="215">
        <f>B15*D15</f>
        <v>0</v>
      </c>
      <c r="F15" s="215"/>
    </row>
    <row r="16" spans="1:18" x14ac:dyDescent="0.35">
      <c r="D16" t="s">
        <v>17</v>
      </c>
      <c r="E16" s="215">
        <f>SUM(E13:E15)</f>
        <v>8.75</v>
      </c>
    </row>
    <row r="18" spans="1:19" x14ac:dyDescent="0.35">
      <c r="A18" t="s">
        <v>301</v>
      </c>
      <c r="J18" t="s">
        <v>295</v>
      </c>
      <c r="O18" t="s">
        <v>300</v>
      </c>
      <c r="R18" t="s">
        <v>246</v>
      </c>
      <c r="S18" t="s">
        <v>307</v>
      </c>
    </row>
    <row r="19" spans="1:19" x14ac:dyDescent="0.35">
      <c r="A19" t="s">
        <v>14</v>
      </c>
      <c r="C19" t="s">
        <v>281</v>
      </c>
      <c r="D19" t="s">
        <v>282</v>
      </c>
      <c r="E19" t="s">
        <v>287</v>
      </c>
      <c r="F19" t="s">
        <v>292</v>
      </c>
      <c r="G19" t="s">
        <v>290</v>
      </c>
      <c r="H19" t="s">
        <v>291</v>
      </c>
      <c r="J19" t="s">
        <v>296</v>
      </c>
      <c r="K19" t="s">
        <v>297</v>
      </c>
      <c r="L19" t="s">
        <v>298</v>
      </c>
      <c r="M19" t="s">
        <v>305</v>
      </c>
      <c r="O19" t="s">
        <v>299</v>
      </c>
      <c r="P19" s="207">
        <v>5.5</v>
      </c>
      <c r="R19">
        <f>ROUNDUP(C6/8+C6/8*1.2,0)</f>
        <v>8</v>
      </c>
      <c r="S19" s="211">
        <v>45</v>
      </c>
    </row>
    <row r="20" spans="1:19" x14ac:dyDescent="0.35">
      <c r="A20" t="s">
        <v>280</v>
      </c>
      <c r="B20" t="s">
        <v>283</v>
      </c>
      <c r="C20" s="203">
        <v>1.6</v>
      </c>
      <c r="D20" s="202">
        <v>7</v>
      </c>
      <c r="E20" s="202">
        <v>1</v>
      </c>
      <c r="F20" s="202">
        <f>ROUNDUP((B6+C6)/D20,0)</f>
        <v>10</v>
      </c>
      <c r="G20" s="203">
        <v>12</v>
      </c>
      <c r="H20">
        <f t="shared" ref="H20:H26" si="0">ROUNDUP(F20/(G20*3/C20*E20),1)</f>
        <v>0.5</v>
      </c>
      <c r="J20" s="202">
        <v>2</v>
      </c>
      <c r="K20" s="203">
        <v>15</v>
      </c>
      <c r="L20" s="209">
        <v>60</v>
      </c>
      <c r="M20" s="208">
        <f>F20*(J20*P19+K20*P20+L20*P21)</f>
        <v>995</v>
      </c>
      <c r="O20" t="s">
        <v>297</v>
      </c>
      <c r="P20" s="206">
        <v>3.9</v>
      </c>
      <c r="R20" t="s">
        <v>313</v>
      </c>
      <c r="S20" s="211">
        <v>10</v>
      </c>
    </row>
    <row r="21" spans="1:19" x14ac:dyDescent="0.35">
      <c r="B21" t="s">
        <v>284</v>
      </c>
      <c r="C21" s="203">
        <v>1.2</v>
      </c>
      <c r="D21" s="202">
        <v>7</v>
      </c>
      <c r="E21" s="202">
        <v>1</v>
      </c>
      <c r="F21" s="202">
        <f>ROUNDUP((B6+C6)/D21,0)</f>
        <v>10</v>
      </c>
      <c r="G21" s="203">
        <f>G20</f>
        <v>12</v>
      </c>
      <c r="H21">
        <f t="shared" si="0"/>
        <v>0.4</v>
      </c>
      <c r="J21" s="202">
        <v>1</v>
      </c>
      <c r="K21" s="203"/>
      <c r="L21" s="209">
        <v>30</v>
      </c>
      <c r="M21" s="208">
        <f>F21*(J21*P19+L21*P21)</f>
        <v>205</v>
      </c>
      <c r="O21" t="s">
        <v>298</v>
      </c>
      <c r="P21" s="205">
        <v>0.5</v>
      </c>
    </row>
    <row r="22" spans="1:19" x14ac:dyDescent="0.35">
      <c r="B22" t="s">
        <v>285</v>
      </c>
      <c r="C22" s="203">
        <v>1.2</v>
      </c>
      <c r="D22" s="202">
        <v>6</v>
      </c>
      <c r="E22" s="202">
        <v>1</v>
      </c>
      <c r="F22" s="202">
        <f>ROUNDUP(B6/D22,0)</f>
        <v>7</v>
      </c>
      <c r="G22" s="203">
        <f t="shared" ref="G22:G32" si="1">G21</f>
        <v>12</v>
      </c>
      <c r="H22">
        <f t="shared" si="0"/>
        <v>0.30000000000000004</v>
      </c>
      <c r="J22" s="202">
        <v>1</v>
      </c>
      <c r="K22" s="203"/>
      <c r="L22" s="209">
        <v>30</v>
      </c>
      <c r="M22" s="208">
        <f>F22*(J22*P19+L22*P21)</f>
        <v>143.5</v>
      </c>
    </row>
    <row r="23" spans="1:19" x14ac:dyDescent="0.35">
      <c r="A23" t="s">
        <v>141</v>
      </c>
      <c r="C23" s="203">
        <v>6</v>
      </c>
      <c r="D23" s="202">
        <v>30</v>
      </c>
      <c r="E23" s="202">
        <v>2</v>
      </c>
      <c r="F23" s="202">
        <f>ROUNDUP(C10/C23/D23,0)</f>
        <v>10</v>
      </c>
      <c r="G23" s="203">
        <f t="shared" si="1"/>
        <v>12</v>
      </c>
      <c r="H23">
        <f t="shared" si="0"/>
        <v>0.9</v>
      </c>
      <c r="J23" s="202"/>
      <c r="K23" s="203">
        <v>6</v>
      </c>
      <c r="L23" s="209">
        <v>30</v>
      </c>
      <c r="M23" s="208">
        <f>F23*(K23*P20+L23*P21)</f>
        <v>384</v>
      </c>
    </row>
    <row r="24" spans="1:19" x14ac:dyDescent="0.35">
      <c r="A24" t="s">
        <v>286</v>
      </c>
      <c r="C24" s="203">
        <v>5</v>
      </c>
      <c r="D24" s="202">
        <v>30</v>
      </c>
      <c r="E24" s="202">
        <v>2</v>
      </c>
      <c r="F24" s="202">
        <f>ROUNDUP(B10/C24/D24,0)</f>
        <v>5</v>
      </c>
      <c r="G24" s="203">
        <f t="shared" si="1"/>
        <v>12</v>
      </c>
      <c r="H24">
        <f t="shared" si="0"/>
        <v>0.4</v>
      </c>
      <c r="J24" s="202"/>
      <c r="K24" s="203">
        <v>6</v>
      </c>
      <c r="L24" s="209">
        <v>30</v>
      </c>
      <c r="M24" s="208">
        <f>F24*(K24*P20+L24*P21)</f>
        <v>192</v>
      </c>
    </row>
    <row r="25" spans="1:19" x14ac:dyDescent="0.35">
      <c r="A25" t="s">
        <v>221</v>
      </c>
      <c r="C25" s="203">
        <v>1.2</v>
      </c>
      <c r="D25" s="202">
        <v>50</v>
      </c>
      <c r="E25" s="202">
        <v>1</v>
      </c>
      <c r="F25" s="202">
        <f>ROUNDUP((F6+G6)/D25,0)</f>
        <v>6</v>
      </c>
      <c r="G25" s="203">
        <f t="shared" si="1"/>
        <v>12</v>
      </c>
      <c r="H25">
        <f t="shared" si="0"/>
        <v>0.2</v>
      </c>
      <c r="J25" s="202"/>
      <c r="K25" s="203"/>
      <c r="L25" s="209"/>
      <c r="M25" s="208"/>
    </row>
    <row r="26" spans="1:19" x14ac:dyDescent="0.35">
      <c r="A26" t="s">
        <v>149</v>
      </c>
      <c r="C26" s="203">
        <v>1.2</v>
      </c>
      <c r="D26" s="202">
        <v>50</v>
      </c>
      <c r="E26" s="202">
        <v>1</v>
      </c>
      <c r="F26" s="202">
        <f>ROUNDUP(H6/D26,0)</f>
        <v>3</v>
      </c>
      <c r="G26" s="203">
        <f t="shared" si="1"/>
        <v>12</v>
      </c>
      <c r="H26">
        <f t="shared" si="0"/>
        <v>0.1</v>
      </c>
      <c r="J26" s="202">
        <v>1</v>
      </c>
      <c r="K26" s="203"/>
      <c r="L26" s="209">
        <v>30</v>
      </c>
      <c r="M26" s="208">
        <f>F26*(J26*P19+L26*P21)</f>
        <v>61.5</v>
      </c>
    </row>
    <row r="27" spans="1:19" x14ac:dyDescent="0.35">
      <c r="A27" t="s">
        <v>142</v>
      </c>
      <c r="C27" s="203">
        <v>1.2</v>
      </c>
      <c r="D27" s="202">
        <v>50</v>
      </c>
      <c r="E27" s="202">
        <v>1</v>
      </c>
      <c r="F27" s="202">
        <f>F26</f>
        <v>3</v>
      </c>
      <c r="G27" s="203">
        <f t="shared" si="1"/>
        <v>12</v>
      </c>
      <c r="H27">
        <f t="shared" ref="H27:H31" si="2">ROUNDUP(F27/(G27*3/C27*E27),1)</f>
        <v>0.1</v>
      </c>
      <c r="J27" s="202">
        <v>1</v>
      </c>
      <c r="K27" s="203"/>
      <c r="L27" s="209">
        <v>30</v>
      </c>
      <c r="M27" s="208">
        <f>F27*(J27*P19+L27*P21)</f>
        <v>61.5</v>
      </c>
    </row>
    <row r="28" spans="1:19" x14ac:dyDescent="0.35">
      <c r="A28" t="s">
        <v>16</v>
      </c>
      <c r="B28" t="s">
        <v>288</v>
      </c>
      <c r="C28" s="203">
        <v>2.4</v>
      </c>
      <c r="D28" s="202">
        <v>3</v>
      </c>
      <c r="E28" s="202">
        <v>1</v>
      </c>
      <c r="F28" s="202">
        <f>ROUNDUP(F10/D28,0)</f>
        <v>4</v>
      </c>
      <c r="G28" s="203">
        <f t="shared" si="1"/>
        <v>12</v>
      </c>
      <c r="H28">
        <f t="shared" si="2"/>
        <v>0.30000000000000004</v>
      </c>
      <c r="J28" s="202">
        <v>2</v>
      </c>
      <c r="K28" s="203">
        <v>3.5</v>
      </c>
      <c r="L28" s="209">
        <v>45</v>
      </c>
      <c r="M28" s="208">
        <f>F28*(J28*P19+K28*P20+L28*P21)</f>
        <v>188.6</v>
      </c>
    </row>
    <row r="29" spans="1:19" x14ac:dyDescent="0.35">
      <c r="B29" t="s">
        <v>289</v>
      </c>
      <c r="C29" s="203">
        <v>6</v>
      </c>
      <c r="D29" s="202">
        <v>20</v>
      </c>
      <c r="E29" s="202">
        <v>2</v>
      </c>
      <c r="F29" s="202">
        <f>ROUNDUP(F10/D29,0)</f>
        <v>1</v>
      </c>
      <c r="G29" s="203">
        <f t="shared" si="1"/>
        <v>12</v>
      </c>
      <c r="H29">
        <f t="shared" si="2"/>
        <v>0.1</v>
      </c>
      <c r="J29" s="202"/>
      <c r="K29" s="203">
        <v>7</v>
      </c>
      <c r="L29" s="209">
        <v>30</v>
      </c>
      <c r="M29" s="208">
        <f>F29*(K29*P20+L29*P21)</f>
        <v>42.3</v>
      </c>
    </row>
    <row r="30" spans="1:19" s="281" customFormat="1" x14ac:dyDescent="0.35">
      <c r="A30" s="281" t="s">
        <v>459</v>
      </c>
      <c r="B30" s="202">
        <f>Taschen!Q6+Taschen!Q7+Taschen!Q9</f>
        <v>0</v>
      </c>
      <c r="C30" s="203">
        <v>1.2</v>
      </c>
      <c r="D30" s="202">
        <v>2</v>
      </c>
      <c r="E30" s="202">
        <v>1</v>
      </c>
      <c r="F30" s="202">
        <f>ROUNDUP(B30/D30,0)</f>
        <v>0</v>
      </c>
      <c r="G30" s="203">
        <f t="shared" si="1"/>
        <v>12</v>
      </c>
      <c r="H30" s="281">
        <f t="shared" si="2"/>
        <v>0</v>
      </c>
      <c r="J30" s="202">
        <v>1</v>
      </c>
      <c r="K30" s="203"/>
      <c r="L30" s="209">
        <v>15</v>
      </c>
      <c r="M30" s="208">
        <f>F30*(J30*P19+L30*P21)</f>
        <v>0</v>
      </c>
    </row>
    <row r="31" spans="1:19" x14ac:dyDescent="0.35">
      <c r="A31" t="s">
        <v>203</v>
      </c>
      <c r="C31" s="203">
        <v>1.2</v>
      </c>
      <c r="E31" s="202">
        <v>1</v>
      </c>
      <c r="F31" s="202">
        <f>ROUNDUP(B13/1200+B14/400+B15/80,0)</f>
        <v>30</v>
      </c>
      <c r="G31" s="203">
        <f t="shared" si="1"/>
        <v>12</v>
      </c>
      <c r="H31">
        <f t="shared" si="2"/>
        <v>1</v>
      </c>
      <c r="K31" s="203"/>
      <c r="L31" s="209"/>
      <c r="M31" s="303"/>
    </row>
    <row r="32" spans="1:19" x14ac:dyDescent="0.35">
      <c r="A32" t="s">
        <v>325</v>
      </c>
      <c r="C32" s="203">
        <v>6</v>
      </c>
      <c r="D32" s="202">
        <v>1</v>
      </c>
      <c r="E32" s="202">
        <v>1</v>
      </c>
      <c r="F32" s="202">
        <f>ROUNDUP(Stahlbau!B23,0)</f>
        <v>50</v>
      </c>
      <c r="G32" s="203">
        <f t="shared" si="1"/>
        <v>12</v>
      </c>
      <c r="H32">
        <f>ROUNDUP(F32/(G32*3/C32*E32),1)+Stahlbau!S25</f>
        <v>8.4</v>
      </c>
      <c r="M32" s="73"/>
    </row>
    <row r="33" spans="1:13" x14ac:dyDescent="0.35">
      <c r="M33" s="73"/>
    </row>
    <row r="34" spans="1:13" x14ac:dyDescent="0.35">
      <c r="A34" t="s">
        <v>302</v>
      </c>
      <c r="F34" s="202"/>
      <c r="G34" s="203"/>
      <c r="H34">
        <f>ROUNDUP(H20+H21+H22+H23+H24+H25+H26+H27+H28+H29+H30+H31+H32,0)</f>
        <v>13</v>
      </c>
      <c r="I34" s="288">
        <f>IF(H34&lt;1,0,1)</f>
        <v>1</v>
      </c>
      <c r="J34" s="495" t="s">
        <v>490</v>
      </c>
      <c r="K34" s="495"/>
      <c r="L34" s="495"/>
      <c r="M34" s="303">
        <f>SUM(M20:M33)</f>
        <v>2273.4</v>
      </c>
    </row>
    <row r="35" spans="1:13" x14ac:dyDescent="0.35">
      <c r="A35" t="s">
        <v>303</v>
      </c>
      <c r="B35">
        <f>Übersicht!D59</f>
        <v>800</v>
      </c>
      <c r="F35" s="202"/>
      <c r="G35" s="203"/>
      <c r="I35" s="288">
        <f>IF(B35&gt;1,1,0)</f>
        <v>1</v>
      </c>
      <c r="J35" t="s">
        <v>515</v>
      </c>
      <c r="K35" s="203"/>
      <c r="L35" s="209"/>
      <c r="M35" s="208"/>
    </row>
    <row r="36" spans="1:13" x14ac:dyDescent="0.35">
      <c r="A36" t="s">
        <v>304</v>
      </c>
      <c r="B36" s="210">
        <f>(H34*100+H34*B35+R19*S19+B35)*I35</f>
        <v>12860</v>
      </c>
      <c r="L36" s="209"/>
      <c r="M36" s="208"/>
    </row>
    <row r="37" spans="1:13" x14ac:dyDescent="0.35">
      <c r="A37" t="s">
        <v>306</v>
      </c>
      <c r="B37" s="208">
        <f>ROUNDUP(M34+R19*S20,0)</f>
        <v>2354</v>
      </c>
      <c r="C37" s="208">
        <f>(B36+B37)*I34</f>
        <v>15214</v>
      </c>
    </row>
    <row r="38" spans="1:13" x14ac:dyDescent="0.35">
      <c r="B38" s="208"/>
    </row>
    <row r="39" spans="1:13" x14ac:dyDescent="0.35">
      <c r="A39" t="s">
        <v>309</v>
      </c>
      <c r="B39" t="s">
        <v>24</v>
      </c>
      <c r="C39" t="s">
        <v>310</v>
      </c>
      <c r="I39" t="s">
        <v>20</v>
      </c>
    </row>
    <row r="40" spans="1:13" x14ac:dyDescent="0.35">
      <c r="A40" t="s">
        <v>308</v>
      </c>
      <c r="B40">
        <f>Übersicht!D57</f>
        <v>0</v>
      </c>
      <c r="C40">
        <f>Übersicht!E57*0.142857143</f>
        <v>0</v>
      </c>
      <c r="D40" s="212">
        <v>300</v>
      </c>
      <c r="E40" s="213">
        <f>B40*C40*D40</f>
        <v>0</v>
      </c>
      <c r="G40" t="s">
        <v>317</v>
      </c>
      <c r="H40" s="213">
        <f>IF(B40&gt;0,250,0)</f>
        <v>0</v>
      </c>
      <c r="I40" s="213">
        <f>B40*H40</f>
        <v>0</v>
      </c>
    </row>
    <row r="41" spans="1:13" x14ac:dyDescent="0.35">
      <c r="A41" t="s">
        <v>52</v>
      </c>
      <c r="B41">
        <f>Übersicht!D58</f>
        <v>0</v>
      </c>
      <c r="C41">
        <f>Übersicht!E58*0.142857143</f>
        <v>0</v>
      </c>
      <c r="D41" s="212">
        <v>300</v>
      </c>
      <c r="E41" s="213">
        <f>B41*C41*D41</f>
        <v>0</v>
      </c>
      <c r="G41" t="s">
        <v>317</v>
      </c>
      <c r="H41" s="213">
        <f>IF(E41&gt;0,500,0)</f>
        <v>0</v>
      </c>
      <c r="I41" s="213">
        <f>B41*H41</f>
        <v>0</v>
      </c>
      <c r="J41" s="213"/>
    </row>
    <row r="42" spans="1:13" x14ac:dyDescent="0.35">
      <c r="D42" s="212"/>
      <c r="E42" s="213">
        <f>SUM(E40:E41)</f>
        <v>0</v>
      </c>
      <c r="I42" s="214">
        <f>ROUNDUP(E42+I40+I41,0)</f>
        <v>0</v>
      </c>
    </row>
    <row r="44" spans="1:13" x14ac:dyDescent="0.35">
      <c r="A44" t="s">
        <v>311</v>
      </c>
      <c r="E44" s="213">
        <f>ROUNDUP(Übersicht!E51/Mengen!B45*20,-1)</f>
        <v>1890</v>
      </c>
    </row>
    <row r="45" spans="1:13" x14ac:dyDescent="0.35">
      <c r="A45" t="s">
        <v>312</v>
      </c>
      <c r="B45" s="221">
        <f>Übersicht!D56</f>
        <v>48</v>
      </c>
    </row>
    <row r="46" spans="1:13" x14ac:dyDescent="0.35">
      <c r="A46" t="s">
        <v>351</v>
      </c>
      <c r="B46" s="221">
        <f>ROUNDUP(Tabellen!AE61,0)</f>
        <v>4533</v>
      </c>
    </row>
    <row r="47" spans="1:13" x14ac:dyDescent="0.35">
      <c r="B47" s="221"/>
    </row>
    <row r="48" spans="1:13" x14ac:dyDescent="0.35">
      <c r="A48" t="s">
        <v>318</v>
      </c>
      <c r="B48" t="s">
        <v>319</v>
      </c>
      <c r="C48" s="220">
        <v>40</v>
      </c>
      <c r="D48" t="s">
        <v>320</v>
      </c>
      <c r="E48" s="221">
        <f>ROUNDUP(F48/1500,0)</f>
        <v>279</v>
      </c>
      <c r="F48" s="223">
        <f>Übersicht!D34+Übersicht!D35+Übersicht!D39</f>
        <v>417472.40000000008</v>
      </c>
      <c r="G48" s="225">
        <f>ROUNDUP(Steuerg!G67*0.25,0)</f>
        <v>25</v>
      </c>
      <c r="H48" s="210">
        <f>C48*(E48+G48)</f>
        <v>12160</v>
      </c>
    </row>
    <row r="49" spans="1:18" x14ac:dyDescent="0.35">
      <c r="A49" t="s">
        <v>321</v>
      </c>
      <c r="B49" t="s">
        <v>494</v>
      </c>
      <c r="C49" t="s">
        <v>322</v>
      </c>
      <c r="D49" t="s">
        <v>323</v>
      </c>
      <c r="E49" t="s">
        <v>27</v>
      </c>
      <c r="F49" s="223">
        <f>F48</f>
        <v>417472.40000000008</v>
      </c>
      <c r="G49" s="223"/>
    </row>
    <row r="50" spans="1:18" x14ac:dyDescent="0.35">
      <c r="B50" s="208">
        <f>F49</f>
        <v>417472.40000000008</v>
      </c>
      <c r="C50">
        <v>9.0000000000000006E-5</v>
      </c>
      <c r="D50" s="222">
        <v>9</v>
      </c>
      <c r="E50" s="208">
        <f>C48*'AP und Sort'!I42</f>
        <v>80</v>
      </c>
      <c r="F50" s="253">
        <f>B50*C50*D50*E50</f>
        <v>27052.211520000004</v>
      </c>
    </row>
    <row r="51" spans="1:18" x14ac:dyDescent="0.35">
      <c r="B51" t="s">
        <v>339</v>
      </c>
      <c r="C51" s="231">
        <f>ROUNDUP(B50*C50,0)</f>
        <v>38</v>
      </c>
      <c r="D51" s="221">
        <f>C51*D50</f>
        <v>342</v>
      </c>
      <c r="E51" s="208">
        <f>D51*E50</f>
        <v>27360</v>
      </c>
      <c r="H51" s="208">
        <f>E51</f>
        <v>27360</v>
      </c>
    </row>
    <row r="52" spans="1:18" x14ac:dyDescent="0.35">
      <c r="B52" t="s">
        <v>336</v>
      </c>
      <c r="C52" s="202">
        <f>ROUNDUP(C51*0.3,0)</f>
        <v>12</v>
      </c>
      <c r="D52" s="208">
        <f>C52*(Tabellen!AA61*Mengen!E50+Tabellen!AA62)</f>
        <v>23978.666666666664</v>
      </c>
      <c r="E52" s="208">
        <f>(C51+C52*2)*Übersicht!D61</f>
        <v>3162</v>
      </c>
      <c r="F52" s="208">
        <f>(C51+C52-1)*Übersicht!D60</f>
        <v>4165</v>
      </c>
      <c r="H52" s="208">
        <f>D52+E52+F52</f>
        <v>31305.666666666664</v>
      </c>
      <c r="J52" t="s">
        <v>340</v>
      </c>
      <c r="N52" s="300"/>
      <c r="O52" s="300"/>
      <c r="P52" s="300"/>
      <c r="Q52" s="300"/>
      <c r="R52" s="300"/>
    </row>
    <row r="53" spans="1:18" x14ac:dyDescent="0.35">
      <c r="H53" s="224">
        <f>SUM(H48:H52)</f>
        <v>70825.666666666657</v>
      </c>
    </row>
    <row r="54" spans="1:18" s="344" customFormat="1" x14ac:dyDescent="0.35">
      <c r="H54" s="224"/>
    </row>
    <row r="55" spans="1:18" x14ac:dyDescent="0.35">
      <c r="B55" s="495" t="s">
        <v>531</v>
      </c>
      <c r="C55" s="495"/>
      <c r="D55" s="495"/>
      <c r="E55" s="495"/>
      <c r="F55" s="495"/>
    </row>
    <row r="56" spans="1:18" x14ac:dyDescent="0.35">
      <c r="A56" t="s">
        <v>331</v>
      </c>
      <c r="B56" t="s">
        <v>532</v>
      </c>
      <c r="C56" t="s">
        <v>332</v>
      </c>
      <c r="D56" t="s">
        <v>333</v>
      </c>
      <c r="E56" t="s">
        <v>334</v>
      </c>
      <c r="F56" t="s">
        <v>17</v>
      </c>
      <c r="G56" t="s">
        <v>345</v>
      </c>
      <c r="H56" s="190" t="s">
        <v>346</v>
      </c>
    </row>
    <row r="57" spans="1:18" x14ac:dyDescent="0.35">
      <c r="B57">
        <f>Tabellen!AA59</f>
        <v>111</v>
      </c>
      <c r="C57" s="210">
        <f>B57*C59</f>
        <v>5661</v>
      </c>
      <c r="D57" s="210">
        <f>(B57-1)*C60</f>
        <v>9350</v>
      </c>
      <c r="E57" s="210">
        <f>Tabellen!AA64</f>
        <v>2130</v>
      </c>
      <c r="F57" s="210">
        <f>SUM(C57:E57)</f>
        <v>17141</v>
      </c>
      <c r="G57" s="237">
        <f>Tabellen!AE58</f>
        <v>6</v>
      </c>
      <c r="H57" s="210">
        <f>F57*G57*I57</f>
        <v>102846</v>
      </c>
      <c r="I57" s="288">
        <f>IF(G57&gt;0,1,0)</f>
        <v>1</v>
      </c>
      <c r="J57" s="495" t="s">
        <v>491</v>
      </c>
      <c r="K57" s="495"/>
      <c r="L57" s="300" t="s">
        <v>533</v>
      </c>
    </row>
    <row r="58" spans="1:18" x14ac:dyDescent="0.35">
      <c r="L58" t="s">
        <v>492</v>
      </c>
    </row>
    <row r="59" spans="1:18" x14ac:dyDescent="0.35">
      <c r="B59" s="285" t="s">
        <v>332</v>
      </c>
      <c r="C59" s="210">
        <f>Übersicht!D61</f>
        <v>51</v>
      </c>
    </row>
    <row r="60" spans="1:18" x14ac:dyDescent="0.35">
      <c r="B60" t="s">
        <v>333</v>
      </c>
      <c r="C60" s="210">
        <f>Übersicht!D60</f>
        <v>85</v>
      </c>
    </row>
    <row r="61" spans="1:18" x14ac:dyDescent="0.35">
      <c r="B61" s="344" t="s">
        <v>27</v>
      </c>
      <c r="C61" s="210">
        <f>Übersicht!D64</f>
        <v>31</v>
      </c>
    </row>
  </sheetData>
  <mergeCells count="3">
    <mergeCell ref="J34:L34"/>
    <mergeCell ref="J57:K57"/>
    <mergeCell ref="B55:F55"/>
  </mergeCells>
  <pageMargins left="0.7" right="0.7" top="0.78740157499999996" bottom="0.78740157499999996" header="0.3" footer="0.3"/>
  <pageSetup paperSize="9" orientation="landscape" r:id="rId1"/>
  <headerFooter alignWithMargins="0">
    <oddHeader>&amp;C&amp;"-,Fett"&amp;12Übersicht Mengen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4:T33"/>
  <sheetViews>
    <sheetView topLeftCell="A7" zoomScaleNormal="100" workbookViewId="0">
      <selection activeCell="D25" sqref="D25"/>
    </sheetView>
  </sheetViews>
  <sheetFormatPr baseColWidth="10" defaultRowHeight="14.5" x14ac:dyDescent="0.35"/>
  <cols>
    <col min="1" max="1" width="18.54296875" bestFit="1" customWidth="1"/>
    <col min="2" max="2" width="15.54296875" bestFit="1" customWidth="1"/>
    <col min="3" max="3" width="16.453125" bestFit="1" customWidth="1"/>
    <col min="4" max="4" width="16" customWidth="1"/>
    <col min="5" max="5" width="13.26953125" customWidth="1"/>
    <col min="6" max="6" width="14.7265625" customWidth="1"/>
    <col min="7" max="8" width="10.453125" bestFit="1" customWidth="1"/>
    <col min="9" max="9" width="11.26953125" customWidth="1"/>
    <col min="10" max="17" width="10.453125" bestFit="1" customWidth="1"/>
    <col min="18" max="18" width="7.81640625" customWidth="1"/>
    <col min="19" max="19" width="10.453125" bestFit="1" customWidth="1"/>
    <col min="20" max="20" width="8.453125" customWidth="1"/>
    <col min="21" max="21" width="8.81640625" customWidth="1"/>
    <col min="22" max="22" width="9" customWidth="1"/>
  </cols>
  <sheetData>
    <row r="4" spans="1:20" ht="15" thickBot="1" x14ac:dyDescent="0.4"/>
    <row r="5" spans="1:20" ht="24.75" customHeight="1" thickBot="1" x14ac:dyDescent="0.4">
      <c r="A5" s="196" t="s">
        <v>74</v>
      </c>
      <c r="B5" s="511" t="str">
        <f>Übersicht!C3</f>
        <v>Faurecia Entwurf 1</v>
      </c>
      <c r="C5" s="511"/>
      <c r="D5" s="512"/>
      <c r="E5" s="196" t="s">
        <v>33</v>
      </c>
      <c r="F5" s="197" t="str">
        <f>Übersicht!D2</f>
        <v>Datum</v>
      </c>
      <c r="H5" s="107"/>
      <c r="I5" s="107"/>
      <c r="L5" s="107"/>
      <c r="M5" s="107"/>
      <c r="N5" s="107"/>
      <c r="O5" s="107"/>
      <c r="P5" s="107"/>
      <c r="Q5" s="107"/>
      <c r="R5" s="108"/>
      <c r="S5" s="108"/>
      <c r="T5" s="108"/>
    </row>
    <row r="6" spans="1:20" ht="24.75" customHeight="1" thickBot="1" x14ac:dyDescent="0.4">
      <c r="A6" s="196" t="s">
        <v>75</v>
      </c>
      <c r="B6" s="195">
        <f>Übersicht!D3</f>
        <v>44322</v>
      </c>
      <c r="C6" s="513"/>
      <c r="D6" s="511"/>
      <c r="E6" s="511"/>
      <c r="F6" s="512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  <c r="S6" s="108"/>
      <c r="T6" s="108"/>
    </row>
    <row r="7" spans="1:20" x14ac:dyDescent="0.35">
      <c r="A7" s="239"/>
      <c r="B7" s="32"/>
      <c r="C7" s="239"/>
      <c r="D7" s="239"/>
      <c r="E7" s="239"/>
      <c r="F7" s="239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</row>
    <row r="8" spans="1:20" x14ac:dyDescent="0.35">
      <c r="A8" s="240" t="s">
        <v>14</v>
      </c>
      <c r="B8" s="194" t="s">
        <v>125</v>
      </c>
      <c r="C8" s="194" t="s">
        <v>235</v>
      </c>
      <c r="D8" s="194" t="s">
        <v>236</v>
      </c>
      <c r="E8" s="194" t="s">
        <v>237</v>
      </c>
      <c r="F8" s="194" t="s">
        <v>238</v>
      </c>
    </row>
    <row r="9" spans="1:20" x14ac:dyDescent="0.35">
      <c r="A9" s="239"/>
      <c r="B9" s="152"/>
      <c r="C9" s="152"/>
      <c r="D9" s="152"/>
      <c r="E9" s="152"/>
      <c r="F9" s="152"/>
      <c r="G9" s="190"/>
      <c r="H9" s="190"/>
      <c r="I9" s="190"/>
      <c r="J9" s="190"/>
      <c r="K9" s="190"/>
    </row>
    <row r="10" spans="1:20" x14ac:dyDescent="0.35">
      <c r="A10" s="240" t="s">
        <v>241</v>
      </c>
      <c r="B10" s="194">
        <f>Steuerg!B32</f>
        <v>39</v>
      </c>
      <c r="C10" s="194">
        <f>B10</f>
        <v>39</v>
      </c>
      <c r="D10" s="244"/>
      <c r="E10" s="235">
        <f>C10+Steuerg!C32-Steuerg!N32</f>
        <v>56</v>
      </c>
      <c r="F10" s="194">
        <f>Steuerg!B35</f>
        <v>39</v>
      </c>
      <c r="G10" s="190"/>
      <c r="H10" s="190"/>
      <c r="I10" s="190"/>
      <c r="J10" s="190"/>
      <c r="K10" s="190"/>
    </row>
    <row r="11" spans="1:20" x14ac:dyDescent="0.35">
      <c r="A11" s="240" t="s">
        <v>243</v>
      </c>
      <c r="B11" s="194">
        <f>Steuerg!D32</f>
        <v>22</v>
      </c>
      <c r="C11" s="244"/>
      <c r="D11" s="246"/>
      <c r="E11" s="235">
        <f>B11*2</f>
        <v>44</v>
      </c>
      <c r="F11" s="152"/>
      <c r="G11" s="190"/>
      <c r="H11" s="190"/>
      <c r="I11" s="190"/>
      <c r="J11" s="190"/>
      <c r="K11" s="190"/>
    </row>
    <row r="12" spans="1:20" x14ac:dyDescent="0.35">
      <c r="A12" s="240" t="s">
        <v>114</v>
      </c>
      <c r="B12" s="194">
        <f>Steuerg!E32</f>
        <v>29</v>
      </c>
      <c r="C12" s="246"/>
      <c r="D12" s="249">
        <f>B12</f>
        <v>29</v>
      </c>
      <c r="E12" s="235">
        <f>Steuerg!E34</f>
        <v>58</v>
      </c>
      <c r="F12" s="194">
        <f>Steuerg!E35</f>
        <v>29</v>
      </c>
      <c r="G12" s="190"/>
      <c r="H12" s="190"/>
      <c r="I12" s="190"/>
      <c r="J12" s="190"/>
      <c r="K12" s="190"/>
    </row>
    <row r="13" spans="1:20" x14ac:dyDescent="0.35">
      <c r="A13" s="240" t="s">
        <v>233</v>
      </c>
      <c r="B13" s="194">
        <f>Steuerg!H32</f>
        <v>120</v>
      </c>
      <c r="C13" s="246"/>
      <c r="D13" s="247">
        <f>B13</f>
        <v>120</v>
      </c>
      <c r="E13" s="235">
        <f>ROUNDUP(Steuerg!H34,0)</f>
        <v>150</v>
      </c>
      <c r="F13" s="194">
        <f>Steuerg!H35</f>
        <v>120</v>
      </c>
      <c r="G13" s="190"/>
      <c r="H13" s="190"/>
      <c r="I13" s="190"/>
      <c r="J13" s="190"/>
      <c r="K13" s="190"/>
    </row>
    <row r="14" spans="1:20" x14ac:dyDescent="0.35">
      <c r="A14" s="240" t="s">
        <v>232</v>
      </c>
      <c r="B14" s="194">
        <f>Steuerg!F32+Steuerg!G32</f>
        <v>257</v>
      </c>
      <c r="C14" s="246"/>
      <c r="D14" s="249">
        <f>B14</f>
        <v>257</v>
      </c>
      <c r="E14" s="235">
        <f>Steuerg!F32*Steuerg!F38+Steuerg!G32*Steuerg!G38</f>
        <v>314</v>
      </c>
      <c r="F14" s="194">
        <f>Steuerg!F32*Steuerg!F39+Steuerg!G32*Steuerg!G39</f>
        <v>257</v>
      </c>
      <c r="G14" s="190"/>
      <c r="H14" s="190"/>
      <c r="I14" s="190"/>
      <c r="J14" s="190"/>
      <c r="K14" s="190"/>
    </row>
    <row r="15" spans="1:20" x14ac:dyDescent="0.35">
      <c r="A15" s="240" t="s">
        <v>121</v>
      </c>
      <c r="B15" s="194">
        <f>Steuerg!N32</f>
        <v>10</v>
      </c>
      <c r="C15" s="246"/>
      <c r="D15" s="246"/>
      <c r="E15" s="244"/>
      <c r="F15" s="194"/>
      <c r="G15" s="190"/>
      <c r="H15" s="190"/>
      <c r="I15" s="190"/>
      <c r="J15" s="190"/>
      <c r="K15" s="190"/>
    </row>
    <row r="16" spans="1:20" x14ac:dyDescent="0.35">
      <c r="A16" s="240" t="s">
        <v>234</v>
      </c>
      <c r="B16" s="194">
        <f>Steuerg!O32</f>
        <v>34</v>
      </c>
      <c r="C16" s="245"/>
      <c r="D16" s="246"/>
      <c r="E16" s="245">
        <f>Steuerg!O32*Steuerg!O38</f>
        <v>34</v>
      </c>
      <c r="F16" s="235">
        <f>Steuerg!O32*Steuerg!O39</f>
        <v>34</v>
      </c>
      <c r="G16" s="190"/>
      <c r="H16" s="190"/>
      <c r="I16" s="190"/>
      <c r="J16" s="190"/>
      <c r="K16" s="190"/>
    </row>
    <row r="17" spans="1:11" x14ac:dyDescent="0.35">
      <c r="A17" s="240" t="s">
        <v>242</v>
      </c>
      <c r="B17" s="233">
        <f>Steuerg!L32</f>
        <v>10</v>
      </c>
      <c r="C17" s="194">
        <f>B17</f>
        <v>10</v>
      </c>
      <c r="D17" s="246"/>
      <c r="E17" s="234">
        <f>C17+Steuerg!L34</f>
        <v>60</v>
      </c>
      <c r="F17" s="194">
        <f>Steuerg!L35</f>
        <v>10</v>
      </c>
      <c r="G17" s="190"/>
      <c r="H17" s="190"/>
      <c r="I17" s="190"/>
      <c r="J17" s="190"/>
      <c r="K17" s="190"/>
    </row>
    <row r="18" spans="1:11" x14ac:dyDescent="0.35">
      <c r="A18" s="241" t="s">
        <v>343</v>
      </c>
      <c r="B18" s="235"/>
      <c r="C18" s="194">
        <f>Steuerg!M32</f>
        <v>0</v>
      </c>
      <c r="D18" s="249">
        <f>Steuerg!I32+Steuerg!J32*2+Steuerg!K32*3</f>
        <v>0</v>
      </c>
      <c r="E18" s="234">
        <f>C18+Steuerg!I34+Steuerg!J34+Steuerg!K34+Steuerg!M34</f>
        <v>0</v>
      </c>
      <c r="F18" s="194">
        <f>Steuerg!I35+Steuerg!J35+Steuerg!K35+Steuerg!M35</f>
        <v>0</v>
      </c>
      <c r="G18" s="190"/>
      <c r="H18" s="190"/>
      <c r="I18" s="190"/>
      <c r="J18" s="190"/>
      <c r="K18" s="190"/>
    </row>
    <row r="19" spans="1:11" x14ac:dyDescent="0.35">
      <c r="A19" s="242" t="s">
        <v>17</v>
      </c>
      <c r="B19" s="243"/>
      <c r="C19" s="244">
        <f>SUM(C10:C18)</f>
        <v>49</v>
      </c>
      <c r="D19" s="248">
        <f>SUM(D10:D18)</f>
        <v>406</v>
      </c>
      <c r="E19" s="234">
        <f>SUM(E10:E18)</f>
        <v>716</v>
      </c>
      <c r="F19" s="194">
        <f>SUM(F10:F18)</f>
        <v>489</v>
      </c>
      <c r="G19" s="190"/>
      <c r="H19" s="190"/>
      <c r="I19" s="190"/>
      <c r="J19" s="190"/>
      <c r="K19" s="190"/>
    </row>
    <row r="20" spans="1:11" x14ac:dyDescent="0.35">
      <c r="A20" s="241" t="s">
        <v>344</v>
      </c>
      <c r="B20" s="234"/>
      <c r="C20" s="234"/>
      <c r="D20" s="235"/>
      <c r="E20" s="233">
        <f>Steuerg!J59</f>
        <v>160</v>
      </c>
      <c r="F20" s="194">
        <f>Steuerg!L59</f>
        <v>132</v>
      </c>
      <c r="G20" s="190"/>
      <c r="H20" s="190"/>
      <c r="I20" s="190"/>
      <c r="J20" s="190"/>
      <c r="K20" s="190"/>
    </row>
    <row r="21" spans="1:11" x14ac:dyDescent="0.35">
      <c r="A21" s="241" t="s">
        <v>48</v>
      </c>
      <c r="B21" s="235"/>
      <c r="C21" s="245">
        <f>SUM(C19:C20)</f>
        <v>49</v>
      </c>
      <c r="D21" s="249">
        <f>SUM(D19:D20)</f>
        <v>406</v>
      </c>
      <c r="E21" s="233">
        <f>SUM(E19:E20)</f>
        <v>876</v>
      </c>
      <c r="F21" s="194">
        <f>SUM(F19:F20)</f>
        <v>621</v>
      </c>
      <c r="G21" s="190"/>
      <c r="H21" s="190"/>
      <c r="I21" s="190"/>
      <c r="J21" s="190"/>
      <c r="K21" s="190"/>
    </row>
    <row r="22" spans="1:11" x14ac:dyDescent="0.35">
      <c r="A22" s="239"/>
      <c r="B22" s="152"/>
      <c r="C22" s="152"/>
      <c r="D22" s="152"/>
      <c r="E22" s="152"/>
      <c r="F22" s="152"/>
      <c r="G22" s="190"/>
      <c r="H22" s="190"/>
      <c r="I22" s="190"/>
      <c r="J22" s="190"/>
      <c r="K22" s="190"/>
    </row>
    <row r="23" spans="1:11" x14ac:dyDescent="0.35">
      <c r="A23" s="239"/>
      <c r="B23" s="152"/>
      <c r="C23" s="152"/>
      <c r="D23" s="152"/>
      <c r="E23" s="152"/>
      <c r="F23" s="152"/>
      <c r="G23" s="190"/>
      <c r="H23" s="190"/>
      <c r="I23" s="190"/>
      <c r="J23" s="190"/>
      <c r="K23" s="190"/>
    </row>
    <row r="24" spans="1:11" x14ac:dyDescent="0.35">
      <c r="A24" s="32"/>
      <c r="B24" s="152"/>
      <c r="C24" s="152"/>
      <c r="D24" s="152"/>
      <c r="E24" s="152"/>
      <c r="F24" s="152"/>
      <c r="G24" s="190"/>
      <c r="H24" s="190"/>
      <c r="I24" s="190"/>
      <c r="J24" s="190"/>
      <c r="K24" s="190"/>
    </row>
    <row r="25" spans="1:11" x14ac:dyDescent="0.35">
      <c r="A25" s="32"/>
      <c r="B25" s="152"/>
      <c r="C25" s="152"/>
      <c r="D25" s="152"/>
      <c r="E25" s="152"/>
      <c r="F25" s="152"/>
      <c r="G25" s="190"/>
      <c r="H25" s="190"/>
      <c r="I25" s="190"/>
      <c r="J25" s="190"/>
      <c r="K25" s="190"/>
    </row>
    <row r="26" spans="1:11" x14ac:dyDescent="0.35">
      <c r="A26" s="32" t="s">
        <v>239</v>
      </c>
      <c r="B26" s="152"/>
      <c r="C26" s="152"/>
      <c r="D26" s="152"/>
      <c r="E26" s="152"/>
      <c r="F26" s="152"/>
      <c r="G26" s="190"/>
      <c r="H26" s="190"/>
      <c r="I26" s="190"/>
      <c r="J26" s="190"/>
      <c r="K26" s="190"/>
    </row>
    <row r="27" spans="1:11" x14ac:dyDescent="0.35">
      <c r="B27" s="152"/>
      <c r="C27" s="152"/>
      <c r="D27" s="152"/>
      <c r="E27" s="152"/>
      <c r="F27" s="152"/>
      <c r="G27" s="190"/>
      <c r="H27" s="190"/>
      <c r="I27" s="190"/>
      <c r="J27" s="190"/>
      <c r="K27" s="190"/>
    </row>
    <row r="28" spans="1:11" x14ac:dyDescent="0.35">
      <c r="A28" s="32" t="s">
        <v>240</v>
      </c>
      <c r="B28" s="152"/>
      <c r="C28" s="152"/>
      <c r="D28" s="152"/>
      <c r="E28" s="152"/>
      <c r="F28" s="152"/>
      <c r="G28" s="190"/>
      <c r="H28" s="190"/>
      <c r="I28" s="190"/>
      <c r="J28" s="190"/>
      <c r="K28" s="190"/>
    </row>
    <row r="29" spans="1:11" x14ac:dyDescent="0.35">
      <c r="A29" s="32"/>
      <c r="B29" s="152"/>
      <c r="C29" s="152"/>
      <c r="D29" s="152"/>
      <c r="E29" s="152"/>
      <c r="F29" s="152"/>
      <c r="G29" s="190"/>
      <c r="H29" s="190"/>
      <c r="I29" s="190"/>
      <c r="J29" s="190"/>
      <c r="K29" s="190"/>
    </row>
    <row r="30" spans="1:11" x14ac:dyDescent="0.35">
      <c r="B30" s="190"/>
      <c r="C30" s="190"/>
      <c r="D30" s="190"/>
      <c r="E30" s="190"/>
      <c r="F30" s="190"/>
      <c r="G30" s="190"/>
      <c r="H30" s="190"/>
      <c r="I30" s="190"/>
      <c r="J30" s="190"/>
      <c r="K30" s="190"/>
    </row>
    <row r="31" spans="1:11" x14ac:dyDescent="0.35">
      <c r="B31" s="190"/>
      <c r="C31" s="190"/>
      <c r="D31" s="190"/>
      <c r="E31" s="190"/>
      <c r="F31" s="190"/>
      <c r="G31" s="190"/>
      <c r="H31" s="190"/>
      <c r="I31" s="190"/>
      <c r="J31" s="190"/>
      <c r="K31" s="190"/>
    </row>
    <row r="32" spans="1:11" x14ac:dyDescent="0.35">
      <c r="B32" s="190"/>
      <c r="C32" s="190"/>
      <c r="D32" s="190"/>
      <c r="E32" s="190"/>
      <c r="F32" s="190"/>
      <c r="G32" s="190"/>
      <c r="H32" s="190"/>
      <c r="I32" s="190"/>
      <c r="J32" s="190"/>
    </row>
    <row r="33" spans="2:10" x14ac:dyDescent="0.35">
      <c r="B33" s="190"/>
      <c r="C33" s="190"/>
      <c r="D33" s="190"/>
      <c r="E33" s="190"/>
      <c r="F33" s="190"/>
      <c r="G33" s="190"/>
      <c r="H33" s="190"/>
      <c r="I33" s="190"/>
      <c r="J33" s="190"/>
    </row>
  </sheetData>
  <mergeCells count="2">
    <mergeCell ref="B5:D5"/>
    <mergeCell ref="C6:F6"/>
  </mergeCells>
  <pageMargins left="0.70866141732283472" right="1.1811023622047245" top="1.3779527559055118" bottom="0.78740157480314965" header="0.31496062992125984" footer="0.31496062992125984"/>
  <pageSetup paperSize="9" scale="85" orientation="portrait" r:id="rId1"/>
  <headerFooter alignWithMargins="0">
    <oddHeader>&amp;C&amp;"-,Fett"&amp;12&amp;G</oddHeader>
    <oddFooter>&amp;L&amp;9Copyright 2015 Schönenberger Systeme GmbH&amp;R&amp;10Steuerungs - Vorgaben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6"/>
  <sheetViews>
    <sheetView zoomScale="85" zoomScaleNormal="85" workbookViewId="0">
      <selection activeCell="G1" sqref="G1:L1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1796875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378"/>
      <c r="D3" s="377"/>
      <c r="E3" s="374"/>
      <c r="F3" s="374"/>
      <c r="G3" s="374"/>
      <c r="H3" s="374"/>
      <c r="I3" s="374"/>
      <c r="J3" s="374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378"/>
      <c r="D4" s="375"/>
      <c r="E4" s="376"/>
      <c r="F4" s="376"/>
      <c r="G4" s="376"/>
      <c r="H4" s="376"/>
      <c r="I4" s="376"/>
      <c r="J4" s="376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73"/>
      <c r="Q4" s="133"/>
      <c r="R4" s="32"/>
      <c r="S4" s="74"/>
      <c r="T4">
        <f t="shared" ref="T4:T14" si="1">D4*F4</f>
        <v>0</v>
      </c>
      <c r="U4">
        <f t="shared" ref="U4:U14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4" si="5">D4*J4</f>
        <v>0</v>
      </c>
    </row>
    <row r="5" spans="1:24" x14ac:dyDescent="0.35">
      <c r="A5" s="58"/>
      <c r="B5" s="59"/>
      <c r="C5" s="378"/>
      <c r="D5" s="375"/>
      <c r="E5" s="376"/>
      <c r="F5" s="376"/>
      <c r="G5" s="376"/>
      <c r="H5" s="376"/>
      <c r="I5" s="376"/>
      <c r="J5" s="376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378"/>
      <c r="D6" s="375"/>
      <c r="E6" s="376"/>
      <c r="F6" s="376"/>
      <c r="G6" s="376"/>
      <c r="H6" s="376"/>
      <c r="I6" s="376"/>
      <c r="J6" s="376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378"/>
      <c r="D7" s="375"/>
      <c r="E7" s="376"/>
      <c r="F7" s="376"/>
      <c r="G7" s="376"/>
      <c r="H7" s="376"/>
      <c r="I7" s="376"/>
      <c r="J7" s="376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378"/>
      <c r="D8" s="375"/>
      <c r="E8" s="376"/>
      <c r="F8" s="376"/>
      <c r="G8" s="376"/>
      <c r="H8" s="376"/>
      <c r="I8" s="376"/>
      <c r="J8" s="376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378"/>
      <c r="D9" s="375"/>
      <c r="E9" s="376"/>
      <c r="F9" s="376"/>
      <c r="G9" s="376"/>
      <c r="H9" s="376"/>
      <c r="I9" s="376"/>
      <c r="J9" s="376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378"/>
      <c r="D10" s="375"/>
      <c r="E10" s="376"/>
      <c r="F10" s="376"/>
      <c r="G10" s="376"/>
      <c r="H10" s="376"/>
      <c r="I10" s="376"/>
      <c r="J10" s="376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41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41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41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D14" s="416"/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73"/>
      <c r="Q14" s="133"/>
      <c r="R14" s="32"/>
      <c r="S14" s="74"/>
      <c r="T14">
        <f t="shared" si="1"/>
        <v>0</v>
      </c>
      <c r="U14">
        <f t="shared" si="2"/>
        <v>0</v>
      </c>
      <c r="X14">
        <f t="shared" si="5"/>
        <v>0</v>
      </c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32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380"/>
      <c r="D17" s="379"/>
      <c r="E17" s="381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73"/>
      <c r="Q17" s="133"/>
      <c r="R17" s="32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401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73"/>
      <c r="Q18" s="133"/>
      <c r="R18" s="32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401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401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32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7"/>
      <c r="E32" s="37"/>
      <c r="F32" s="90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92" t="s">
        <v>227</v>
      </c>
      <c r="F35" s="493"/>
      <c r="G35" s="493"/>
      <c r="H35" s="493"/>
      <c r="I35" s="493"/>
      <c r="J35" s="494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A17:B17"/>
    <mergeCell ref="A41:B41"/>
    <mergeCell ref="B1:C1"/>
    <mergeCell ref="E1:F1"/>
    <mergeCell ref="F17:H28"/>
    <mergeCell ref="E34:J34"/>
    <mergeCell ref="E36:J36"/>
    <mergeCell ref="E35:J35"/>
    <mergeCell ref="G1:L1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06"/>
  <sheetViews>
    <sheetView zoomScale="85" zoomScaleNormal="85" workbookViewId="0">
      <selection activeCell="G1" sqref="G1:L1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customHeight="1" thickBot="1" x14ac:dyDescent="0.4">
      <c r="A3" s="56" t="s">
        <v>15</v>
      </c>
      <c r="B3" s="57"/>
      <c r="C3" s="414"/>
      <c r="D3" s="411"/>
      <c r="E3" s="412"/>
      <c r="F3" s="412"/>
      <c r="G3" s="412"/>
      <c r="H3" s="412"/>
      <c r="I3" s="412"/>
      <c r="J3" s="412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ht="14.5" customHeight="1" x14ac:dyDescent="0.35">
      <c r="A4" s="58"/>
      <c r="B4" s="59"/>
      <c r="C4" s="414"/>
      <c r="D4" s="411"/>
      <c r="E4" s="412"/>
      <c r="F4" s="412"/>
      <c r="G4" s="412"/>
      <c r="H4" s="412"/>
      <c r="I4" s="412"/>
      <c r="J4" s="41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ht="14.5" customHeight="1" x14ac:dyDescent="0.35">
      <c r="A5" s="58"/>
      <c r="B5" s="59"/>
      <c r="C5" s="414"/>
      <c r="D5" s="411"/>
      <c r="E5" s="412"/>
      <c r="F5" s="412"/>
      <c r="G5" s="412"/>
      <c r="H5" s="412"/>
      <c r="I5" s="412"/>
      <c r="J5" s="41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ht="14.5" customHeight="1" x14ac:dyDescent="0.35">
      <c r="A6" s="58"/>
      <c r="B6" s="59"/>
      <c r="C6" s="414"/>
      <c r="D6" s="411"/>
      <c r="E6" s="412"/>
      <c r="F6" s="412"/>
      <c r="G6" s="412"/>
      <c r="H6" s="412"/>
      <c r="I6" s="412"/>
      <c r="J6" s="41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384"/>
      <c r="D7" s="382"/>
      <c r="E7" s="383"/>
      <c r="F7" s="383"/>
      <c r="G7" s="383"/>
      <c r="H7" s="383"/>
      <c r="I7" s="383"/>
      <c r="J7" s="383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410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410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41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41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41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41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32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386"/>
      <c r="D17" s="385"/>
      <c r="E17" s="387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73"/>
      <c r="Q17" s="133"/>
      <c r="R17" s="32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386"/>
      <c r="D18" s="385"/>
      <c r="E18" s="387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73"/>
      <c r="Q18" s="133"/>
      <c r="R18" s="32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41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32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D36*Tabellen!P3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A17:B17"/>
    <mergeCell ref="A41:B41"/>
    <mergeCell ref="B1:C1"/>
    <mergeCell ref="E1:F1"/>
    <mergeCell ref="F17:H28"/>
    <mergeCell ref="E34:J34"/>
    <mergeCell ref="E36:J36"/>
    <mergeCell ref="E35:J35"/>
    <mergeCell ref="G1:L1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06"/>
  <sheetViews>
    <sheetView zoomScale="85" zoomScaleNormal="85" workbookViewId="0">
      <selection activeCell="D34" sqref="D34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392"/>
      <c r="D3" s="391"/>
      <c r="E3" s="388"/>
      <c r="F3" s="388"/>
      <c r="G3" s="388"/>
      <c r="H3" s="388"/>
      <c r="I3" s="388"/>
      <c r="J3" s="388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392"/>
      <c r="D4" s="389"/>
      <c r="E4" s="390"/>
      <c r="F4" s="390"/>
      <c r="G4" s="390"/>
      <c r="H4" s="390"/>
      <c r="I4" s="390"/>
      <c r="J4" s="390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392"/>
      <c r="D5" s="389"/>
      <c r="E5" s="390"/>
      <c r="F5" s="390"/>
      <c r="G5" s="390"/>
      <c r="H5" s="390"/>
      <c r="I5" s="390"/>
      <c r="J5" s="390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392"/>
      <c r="D6" s="389"/>
      <c r="E6" s="390"/>
      <c r="F6" s="390"/>
      <c r="G6" s="390"/>
      <c r="H6" s="390"/>
      <c r="I6" s="390"/>
      <c r="J6" s="390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392"/>
      <c r="D7" s="389"/>
      <c r="E7" s="390"/>
      <c r="F7" s="390"/>
      <c r="G7" s="390"/>
      <c r="H7" s="390"/>
      <c r="I7" s="390"/>
      <c r="J7" s="390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392"/>
      <c r="D8" s="389"/>
      <c r="E8" s="390"/>
      <c r="F8" s="390"/>
      <c r="G8" s="390"/>
      <c r="H8" s="390"/>
      <c r="I8" s="390"/>
      <c r="J8" s="390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41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32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394"/>
      <c r="D17" s="393"/>
      <c r="E17" s="39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73"/>
      <c r="Q17" s="133"/>
      <c r="R17" s="32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394"/>
      <c r="D18" s="393"/>
      <c r="E18" s="39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73"/>
      <c r="Q18" s="133"/>
      <c r="R18" s="32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394"/>
      <c r="D19" s="393"/>
      <c r="E19" s="39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41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32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A17:B17"/>
    <mergeCell ref="A41:B41"/>
    <mergeCell ref="B1:C1"/>
    <mergeCell ref="E1:F1"/>
    <mergeCell ref="F17:H28"/>
    <mergeCell ref="E34:J34"/>
    <mergeCell ref="E36:J36"/>
    <mergeCell ref="E35:J35"/>
    <mergeCell ref="G1:L1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06"/>
  <sheetViews>
    <sheetView zoomScale="85" zoomScaleNormal="85" workbookViewId="0">
      <selection activeCell="D35" sqref="D35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customHeight="1" thickBot="1" x14ac:dyDescent="0.4">
      <c r="A3" s="56" t="s">
        <v>15</v>
      </c>
      <c r="B3" s="57"/>
      <c r="C3" s="407"/>
      <c r="D3" s="406"/>
      <c r="E3" s="403"/>
      <c r="F3" s="403"/>
      <c r="G3" s="403"/>
      <c r="H3" s="403"/>
      <c r="I3" s="403"/>
      <c r="J3" s="403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ht="14.5" customHeight="1" x14ac:dyDescent="0.35">
      <c r="A4" s="58"/>
      <c r="B4" s="59"/>
      <c r="C4" s="407"/>
      <c r="D4" s="404"/>
      <c r="E4" s="405"/>
      <c r="F4" s="405"/>
      <c r="G4" s="405"/>
      <c r="H4" s="405"/>
      <c r="I4" s="405"/>
      <c r="J4" s="405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ht="14.5" customHeight="1" x14ac:dyDescent="0.35">
      <c r="A5" s="58"/>
      <c r="B5" s="59"/>
      <c r="C5" s="407"/>
      <c r="D5" s="404"/>
      <c r="E5" s="405"/>
      <c r="F5" s="405"/>
      <c r="G5" s="405"/>
      <c r="H5" s="405"/>
      <c r="I5" s="405"/>
      <c r="J5" s="405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ht="14.5" customHeight="1" x14ac:dyDescent="0.35">
      <c r="A6" s="58"/>
      <c r="B6" s="59"/>
      <c r="C6" s="407"/>
      <c r="D6" s="404"/>
      <c r="E6" s="405"/>
      <c r="F6" s="405"/>
      <c r="G6" s="405"/>
      <c r="H6" s="405"/>
      <c r="I6" s="405"/>
      <c r="J6" s="405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410"/>
      <c r="D7" s="408"/>
      <c r="E7" s="409"/>
      <c r="F7" s="409"/>
      <c r="G7" s="409"/>
      <c r="H7" s="409"/>
      <c r="I7" s="409"/>
      <c r="J7" s="409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414"/>
      <c r="D8" s="411"/>
      <c r="E8" s="412"/>
      <c r="F8" s="412"/>
      <c r="G8" s="412"/>
      <c r="H8" s="412"/>
      <c r="I8" s="412"/>
      <c r="J8" s="41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ht="14.5" customHeight="1" x14ac:dyDescent="0.35">
      <c r="A9" s="58"/>
      <c r="B9" s="59"/>
      <c r="C9" s="414"/>
      <c r="D9" s="411"/>
      <c r="E9" s="412"/>
      <c r="F9" s="412"/>
      <c r="G9" s="412"/>
      <c r="H9" s="412"/>
      <c r="I9" s="412"/>
      <c r="J9" s="41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ht="14.5" customHeight="1" x14ac:dyDescent="0.35">
      <c r="A10" s="58"/>
      <c r="B10" s="59"/>
      <c r="C10" s="414"/>
      <c r="D10" s="411"/>
      <c r="E10" s="412"/>
      <c r="F10" s="412"/>
      <c r="G10" s="412"/>
      <c r="H10" s="412"/>
      <c r="I10" s="412"/>
      <c r="J10" s="41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414"/>
      <c r="D11" s="411"/>
      <c r="E11" s="412"/>
      <c r="F11" s="412"/>
      <c r="G11" s="412"/>
      <c r="H11" s="412"/>
      <c r="I11" s="412"/>
      <c r="J11" s="41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414"/>
      <c r="D12" s="41"/>
      <c r="E12" s="412"/>
      <c r="F12" s="412"/>
      <c r="G12" s="412"/>
      <c r="H12" s="412"/>
      <c r="I12" s="412"/>
      <c r="J12" s="41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414"/>
      <c r="D13" s="41"/>
      <c r="E13" s="412"/>
      <c r="F13" s="412"/>
      <c r="G13" s="412"/>
      <c r="H13" s="412"/>
      <c r="I13" s="412"/>
      <c r="J13" s="412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D14" s="358"/>
      <c r="E14" s="361"/>
      <c r="F14" s="359"/>
      <c r="G14" s="359"/>
      <c r="H14" s="359"/>
      <c r="I14" s="359"/>
      <c r="J14" s="36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32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401"/>
      <c r="D17" s="400"/>
      <c r="E17" s="402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73"/>
      <c r="Q17" s="133"/>
      <c r="R17" s="32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401"/>
      <c r="D18" s="400"/>
      <c r="E18" s="402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73"/>
      <c r="Q18" s="133"/>
      <c r="R18" s="32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401"/>
      <c r="D19" s="400"/>
      <c r="E19" s="402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32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A17:B17"/>
    <mergeCell ref="A41:B41"/>
    <mergeCell ref="B1:C1"/>
    <mergeCell ref="E1:F1"/>
    <mergeCell ref="F17:H28"/>
    <mergeCell ref="E34:J34"/>
    <mergeCell ref="E36:J36"/>
    <mergeCell ref="E35:J35"/>
    <mergeCell ref="G1:L1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32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73"/>
      <c r="Q17" s="133"/>
      <c r="R17" s="32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73"/>
      <c r="Q18" s="133"/>
      <c r="R18" s="32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32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G1:L1"/>
    <mergeCell ref="A17:B17"/>
    <mergeCell ref="A41:B41"/>
    <mergeCell ref="B1:C1"/>
    <mergeCell ref="E1:F1"/>
    <mergeCell ref="F17:H28"/>
    <mergeCell ref="E34:J34"/>
    <mergeCell ref="E36:J36"/>
    <mergeCell ref="E35:J3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06"/>
  <sheetViews>
    <sheetView zoomScale="85" zoomScaleNormal="85" workbookViewId="0">
      <selection activeCell="K37" sqref="K37"/>
    </sheetView>
  </sheetViews>
  <sheetFormatPr baseColWidth="10" defaultRowHeight="14.5" x14ac:dyDescent="0.35"/>
  <cols>
    <col min="3" max="3" width="32.81640625" bestFit="1" customWidth="1"/>
    <col min="4" max="4" width="6.26953125" customWidth="1"/>
    <col min="5" max="5" width="12.453125" bestFit="1" customWidth="1"/>
    <col min="6" max="6" width="10.54296875" bestFit="1" customWidth="1"/>
    <col min="7" max="7" width="10.54296875" customWidth="1"/>
    <col min="8" max="8" width="9.1796875" bestFit="1" customWidth="1"/>
    <col min="9" max="9" width="9.81640625" bestFit="1" customWidth="1"/>
    <col min="10" max="10" width="9.81640625" customWidth="1"/>
    <col min="11" max="11" width="13.54296875" customWidth="1"/>
    <col min="14" max="14" width="13.81640625" customWidth="1"/>
    <col min="15" max="15" width="9.7265625" customWidth="1"/>
    <col min="20" max="20" width="4" bestFit="1" customWidth="1"/>
    <col min="21" max="21" width="6.453125" bestFit="1" customWidth="1"/>
    <col min="22" max="22" width="4.453125" bestFit="1" customWidth="1"/>
    <col min="23" max="23" width="4.54296875" bestFit="1" customWidth="1"/>
    <col min="24" max="24" width="5.54296875" bestFit="1" customWidth="1"/>
  </cols>
  <sheetData>
    <row r="1" spans="1:24" ht="24.75" customHeight="1" thickBot="1" x14ac:dyDescent="0.4">
      <c r="A1" s="101" t="s">
        <v>74</v>
      </c>
      <c r="B1" s="458" t="str">
        <f>Übersicht!C3</f>
        <v>Faurecia Entwurf 1</v>
      </c>
      <c r="C1" s="459"/>
      <c r="D1" s="101" t="s">
        <v>75</v>
      </c>
      <c r="E1" s="460">
        <f>Übersicht!D3</f>
        <v>44322</v>
      </c>
      <c r="F1" s="461"/>
      <c r="G1" s="480"/>
      <c r="H1" s="481"/>
      <c r="I1" s="481"/>
      <c r="J1" s="481"/>
      <c r="K1" s="481"/>
      <c r="L1" s="482"/>
      <c r="M1" s="104" t="s">
        <v>33</v>
      </c>
      <c r="N1" s="105" t="str">
        <f>Übersicht!D2</f>
        <v>Datum</v>
      </c>
    </row>
    <row r="2" spans="1:24" ht="26.5" thickBot="1" x14ac:dyDescent="0.4">
      <c r="A2" s="94" t="s">
        <v>14</v>
      </c>
      <c r="B2" s="95"/>
      <c r="C2" s="96" t="s">
        <v>13</v>
      </c>
      <c r="D2" s="97" t="s">
        <v>24</v>
      </c>
      <c r="E2" s="97" t="s">
        <v>25</v>
      </c>
      <c r="F2" s="98" t="s">
        <v>22</v>
      </c>
      <c r="G2" s="98" t="s">
        <v>64</v>
      </c>
      <c r="H2" s="99" t="s">
        <v>26</v>
      </c>
      <c r="I2" s="98" t="s">
        <v>23</v>
      </c>
      <c r="J2" s="98" t="s">
        <v>11</v>
      </c>
      <c r="K2" s="98" t="s">
        <v>66</v>
      </c>
      <c r="L2" s="98" t="s">
        <v>67</v>
      </c>
      <c r="M2" s="98" t="s">
        <v>29</v>
      </c>
      <c r="N2" s="98" t="s">
        <v>28</v>
      </c>
      <c r="O2" s="43" t="s">
        <v>27</v>
      </c>
      <c r="P2" s="130" t="s">
        <v>130</v>
      </c>
      <c r="Q2" s="130" t="s">
        <v>67</v>
      </c>
      <c r="R2" s="130" t="s">
        <v>29</v>
      </c>
      <c r="S2" s="130" t="s">
        <v>28</v>
      </c>
      <c r="T2" s="179" t="s">
        <v>219</v>
      </c>
      <c r="U2" s="179" t="s">
        <v>220</v>
      </c>
      <c r="V2" s="179" t="str">
        <f>"W"&amp;"ei"</f>
        <v>Wei</v>
      </c>
      <c r="W2" s="179" t="s">
        <v>221</v>
      </c>
      <c r="X2" s="179" t="s">
        <v>222</v>
      </c>
    </row>
    <row r="3" spans="1:24" ht="15" thickBot="1" x14ac:dyDescent="0.4">
      <c r="A3" s="56" t="s">
        <v>15</v>
      </c>
      <c r="B3" s="57"/>
      <c r="C3" s="54" t="s">
        <v>65</v>
      </c>
      <c r="D3" s="44"/>
      <c r="E3" s="37"/>
      <c r="F3" s="37"/>
      <c r="G3" s="37"/>
      <c r="H3" s="37"/>
      <c r="I3" s="37"/>
      <c r="J3" s="37"/>
      <c r="K3" s="45">
        <f>D3*(Tabellen!C3+E3*Tabellen!D3+F3*E3*Tabellen!E3+G3*Tabellen!F3+H3*Tabellen!H3+I3*Tabellen!I3+J3*Tabellen!R3+F3*Tabellen!G3)</f>
        <v>0</v>
      </c>
      <c r="L3" s="131">
        <f>D3*(Tabellen!C30+E3*Tabellen!D30+F3*E3*Tabellen!E30+G3*Tabellen!F30+H3*Tabellen!H30+I3*Tabellen!I30+J3*Tabellen!R30+F3*Tabellen!G30)</f>
        <v>0</v>
      </c>
      <c r="M3" s="132">
        <f>L3*Tabellen!V3</f>
        <v>0</v>
      </c>
      <c r="N3" s="132">
        <f t="shared" ref="N3:N14" si="0">K3+M3</f>
        <v>0</v>
      </c>
      <c r="O3" s="146">
        <f>'AP und Sort'!O3</f>
        <v>31</v>
      </c>
      <c r="P3" s="73"/>
      <c r="Q3" s="133"/>
      <c r="R3" s="32"/>
      <c r="S3" s="74"/>
      <c r="T3">
        <f>D3*F3</f>
        <v>0</v>
      </c>
      <c r="U3">
        <f>D3*G3</f>
        <v>0</v>
      </c>
      <c r="V3">
        <f>D3*H3</f>
        <v>0</v>
      </c>
      <c r="W3">
        <f>D3*I3</f>
        <v>0</v>
      </c>
      <c r="X3">
        <f>D3*J3</f>
        <v>0</v>
      </c>
    </row>
    <row r="4" spans="1:24" x14ac:dyDescent="0.35">
      <c r="A4" s="58"/>
      <c r="B4" s="59"/>
      <c r="C4" s="54"/>
      <c r="D4" s="41"/>
      <c r="E4" s="42"/>
      <c r="F4" s="42"/>
      <c r="G4" s="42"/>
      <c r="H4" s="42"/>
      <c r="I4" s="42"/>
      <c r="J4" s="42"/>
      <c r="K4" s="45">
        <f>D4*(Tabellen!C4+E4*Tabellen!D4+F4*E4*Tabellen!E4+G4*Tabellen!F4+H4*Tabellen!H4+I4*Tabellen!I4+J4*Tabellen!R4+F4*Tabellen!G4)</f>
        <v>0</v>
      </c>
      <c r="L4" s="131">
        <f>D4*(Tabellen!C31+E4*Tabellen!D31+F4*E4*Tabellen!E31+G4*Tabellen!F31+H4*Tabellen!H31+I4*Tabellen!I31+J4*Tabellen!R31+F4*Tabellen!G31)</f>
        <v>0</v>
      </c>
      <c r="M4" s="132">
        <f>L4*Tabellen!V4</f>
        <v>0</v>
      </c>
      <c r="N4" s="132">
        <f t="shared" si="0"/>
        <v>0</v>
      </c>
      <c r="P4" s="73"/>
      <c r="Q4" s="133"/>
      <c r="R4" s="32"/>
      <c r="S4" s="74"/>
      <c r="T4">
        <f t="shared" ref="T4:T13" si="1">D4*F4</f>
        <v>0</v>
      </c>
      <c r="U4">
        <f t="shared" ref="U4:U13" si="2">D4*G4</f>
        <v>0</v>
      </c>
      <c r="V4">
        <f t="shared" ref="V4:V13" si="3">D4*H4</f>
        <v>0</v>
      </c>
      <c r="W4">
        <f t="shared" ref="W4:W13" si="4">D4*I4</f>
        <v>0</v>
      </c>
      <c r="X4">
        <f t="shared" ref="X4:X13" si="5">D4*J4</f>
        <v>0</v>
      </c>
    </row>
    <row r="5" spans="1:24" x14ac:dyDescent="0.35">
      <c r="A5" s="58"/>
      <c r="B5" s="59"/>
      <c r="C5" s="54"/>
      <c r="D5" s="41"/>
      <c r="E5" s="42"/>
      <c r="F5" s="42"/>
      <c r="G5" s="42"/>
      <c r="H5" s="42"/>
      <c r="I5" s="42"/>
      <c r="J5" s="42"/>
      <c r="K5" s="45">
        <f>D5*(Tabellen!C5+E5*Tabellen!D5+F5*E5*Tabellen!E5+G5*Tabellen!F5+H5*Tabellen!H5+I5*Tabellen!I5+J5*Tabellen!R5+F5*Tabellen!G5)</f>
        <v>0</v>
      </c>
      <c r="L5" s="131">
        <f>D5*(Tabellen!C32+E5*Tabellen!D32+F5*E5*Tabellen!E32+G5*Tabellen!F32+H5*Tabellen!H32+I5*Tabellen!I32+J5*Tabellen!R32+F5*Tabellen!G32)</f>
        <v>0</v>
      </c>
      <c r="M5" s="132">
        <f>L5*Tabellen!V5</f>
        <v>0</v>
      </c>
      <c r="N5" s="132">
        <f t="shared" si="0"/>
        <v>0</v>
      </c>
      <c r="P5" s="73"/>
      <c r="Q5" s="133"/>
      <c r="R5" s="32"/>
      <c r="S5" s="74"/>
      <c r="T5">
        <f t="shared" si="1"/>
        <v>0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</row>
    <row r="6" spans="1:24" x14ac:dyDescent="0.35">
      <c r="A6" s="58"/>
      <c r="B6" s="59"/>
      <c r="C6" s="54"/>
      <c r="D6" s="41"/>
      <c r="E6" s="42"/>
      <c r="F6" s="42"/>
      <c r="G6" s="42"/>
      <c r="H6" s="42"/>
      <c r="I6" s="42"/>
      <c r="J6" s="42"/>
      <c r="K6" s="45">
        <f>D6*(Tabellen!C6+E6*Tabellen!D6+F6*E6*Tabellen!E6+G6*Tabellen!F6+H6*Tabellen!H6+I6*Tabellen!I6+J6*Tabellen!R6+F6*Tabellen!G6)</f>
        <v>0</v>
      </c>
      <c r="L6" s="131">
        <f>D6*(Tabellen!C33+E6*Tabellen!D33+F6*E6*Tabellen!E33+G6*Tabellen!F33+H6*Tabellen!H33+I6*Tabellen!I33+J6*Tabellen!R33+F6*Tabellen!G33)</f>
        <v>0</v>
      </c>
      <c r="M6" s="132">
        <f>L6*Tabellen!V6</f>
        <v>0</v>
      </c>
      <c r="N6" s="132">
        <f t="shared" si="0"/>
        <v>0</v>
      </c>
      <c r="P6" s="73"/>
      <c r="Q6" s="133"/>
      <c r="R6" s="32"/>
      <c r="S6" s="74"/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</row>
    <row r="7" spans="1:24" x14ac:dyDescent="0.35">
      <c r="A7" s="58"/>
      <c r="B7" s="59"/>
      <c r="C7" s="54"/>
      <c r="D7" s="41"/>
      <c r="E7" s="42"/>
      <c r="F7" s="42"/>
      <c r="G7" s="42"/>
      <c r="H7" s="42"/>
      <c r="I7" s="42"/>
      <c r="J7" s="42"/>
      <c r="K7" s="45">
        <f>D7*(Tabellen!C7+E7*Tabellen!D7+F7*E7*Tabellen!E7+G7*Tabellen!F7+H7*Tabellen!H7+I7*Tabellen!I7+J7*Tabellen!R7+F7*Tabellen!G7)</f>
        <v>0</v>
      </c>
      <c r="L7" s="131">
        <f>D7*(Tabellen!C34+E7*Tabellen!D34+F7*E7*Tabellen!E34+G7*Tabellen!F34+H7*Tabellen!H34+I7*Tabellen!I34+J7*Tabellen!R34+F7*Tabellen!G34)</f>
        <v>0</v>
      </c>
      <c r="M7" s="132">
        <f>L7*Tabellen!V7</f>
        <v>0</v>
      </c>
      <c r="N7" s="132">
        <f t="shared" si="0"/>
        <v>0</v>
      </c>
      <c r="P7" s="73"/>
      <c r="Q7" s="133"/>
      <c r="R7" s="32"/>
      <c r="S7" s="74"/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4" x14ac:dyDescent="0.35">
      <c r="A8" s="58"/>
      <c r="B8" s="59"/>
      <c r="C8" s="54"/>
      <c r="D8" s="41"/>
      <c r="E8" s="42"/>
      <c r="F8" s="42"/>
      <c r="G8" s="42"/>
      <c r="H8" s="42"/>
      <c r="I8" s="42"/>
      <c r="J8" s="42"/>
      <c r="K8" s="45">
        <f>D8*(Tabellen!C8+E8*Tabellen!D8+F8*E8*Tabellen!E8+G8*Tabellen!F8+H8*Tabellen!H8+I8*Tabellen!I8+J8*Tabellen!R8+F8*Tabellen!G8)</f>
        <v>0</v>
      </c>
      <c r="L8" s="131">
        <f>D8*(Tabellen!C35+E8*Tabellen!D35+F8*E8*Tabellen!E35+G8*Tabellen!F35+H8*Tabellen!H35+I8*Tabellen!I35+J8*Tabellen!R35+F8*Tabellen!G35)</f>
        <v>0</v>
      </c>
      <c r="M8" s="132">
        <f>L8*Tabellen!V8</f>
        <v>0</v>
      </c>
      <c r="N8" s="132">
        <f t="shared" si="0"/>
        <v>0</v>
      </c>
      <c r="P8" s="73"/>
      <c r="Q8" s="133"/>
      <c r="R8" s="32"/>
      <c r="S8" s="74"/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</row>
    <row r="9" spans="1:24" x14ac:dyDescent="0.35">
      <c r="A9" s="58"/>
      <c r="B9" s="59"/>
      <c r="C9" s="54"/>
      <c r="D9" s="41"/>
      <c r="E9" s="42"/>
      <c r="F9" s="42"/>
      <c r="G9" s="42"/>
      <c r="H9" s="42"/>
      <c r="I9" s="42"/>
      <c r="J9" s="42"/>
      <c r="K9" s="45">
        <f>D9*(Tabellen!C9+E9*Tabellen!D9+F9*E9*Tabellen!E9+G9*Tabellen!F9+H9*Tabellen!H9+I9*Tabellen!I9+J9*Tabellen!R9+F9*Tabellen!G9)</f>
        <v>0</v>
      </c>
      <c r="L9" s="131">
        <f>D9*(Tabellen!C36+E9*Tabellen!D36+F9*E9*Tabellen!E36+G9*Tabellen!F36+H9*Tabellen!H36+I9*Tabellen!I36+J9*Tabellen!R36+F9*Tabellen!G36)</f>
        <v>0</v>
      </c>
      <c r="M9" s="132">
        <f>L9*Tabellen!V9</f>
        <v>0</v>
      </c>
      <c r="N9" s="132">
        <f t="shared" si="0"/>
        <v>0</v>
      </c>
      <c r="P9" s="73"/>
      <c r="Q9" s="133"/>
      <c r="R9" s="32"/>
      <c r="S9" s="74"/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4" x14ac:dyDescent="0.35">
      <c r="A10" s="58"/>
      <c r="B10" s="59"/>
      <c r="C10" s="54"/>
      <c r="D10" s="41"/>
      <c r="E10" s="42"/>
      <c r="F10" s="42"/>
      <c r="G10" s="42"/>
      <c r="H10" s="42"/>
      <c r="I10" s="42"/>
      <c r="J10" s="42"/>
      <c r="K10" s="45">
        <f>D10*(Tabellen!C10+E10*Tabellen!D10+F10*E10*Tabellen!E10+G10*Tabellen!F10+H10*Tabellen!H10+I10*Tabellen!I10+J10*Tabellen!R10+F10*Tabellen!G10)</f>
        <v>0</v>
      </c>
      <c r="L10" s="131">
        <f>D10*(Tabellen!C37+E10*Tabellen!D37+F10*E10*Tabellen!E37+G10*Tabellen!F37+H10*Tabellen!H37+I10*Tabellen!I37+J10*Tabellen!R37+F10*Tabellen!G37)</f>
        <v>0</v>
      </c>
      <c r="M10" s="132">
        <f>L10*Tabellen!V10</f>
        <v>0</v>
      </c>
      <c r="N10" s="132">
        <f t="shared" si="0"/>
        <v>0</v>
      </c>
      <c r="P10" s="73"/>
      <c r="Q10" s="133"/>
      <c r="R10" s="32"/>
      <c r="S10" s="74"/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</row>
    <row r="11" spans="1:24" x14ac:dyDescent="0.35">
      <c r="A11" s="58"/>
      <c r="B11" s="59"/>
      <c r="C11" s="54"/>
      <c r="D11" s="41"/>
      <c r="E11" s="42"/>
      <c r="F11" s="42"/>
      <c r="G11" s="42"/>
      <c r="H11" s="42"/>
      <c r="I11" s="42"/>
      <c r="J11" s="42"/>
      <c r="K11" s="45">
        <f>D11*(Tabellen!C11+E11*Tabellen!D11+F11*E11*Tabellen!E11+G11*Tabellen!F11+H11*Tabellen!H11+I11*Tabellen!I11+J11*Tabellen!R11+F11*Tabellen!G11)</f>
        <v>0</v>
      </c>
      <c r="L11" s="131">
        <f>D11*(Tabellen!C38+E11*Tabellen!D38+F11*E11*Tabellen!E38+G11*Tabellen!F38+H11*Tabellen!H38+I11*Tabellen!I38+J11*Tabellen!R38+F11*Tabellen!G38)</f>
        <v>0</v>
      </c>
      <c r="M11" s="132">
        <f>L11*Tabellen!V11</f>
        <v>0</v>
      </c>
      <c r="N11" s="132">
        <f t="shared" si="0"/>
        <v>0</v>
      </c>
      <c r="P11" s="73"/>
      <c r="Q11" s="133"/>
      <c r="R11" s="32"/>
      <c r="S11" s="74"/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4" x14ac:dyDescent="0.35">
      <c r="A12" s="58"/>
      <c r="B12" s="59"/>
      <c r="C12" s="54"/>
      <c r="D12" s="41"/>
      <c r="E12" s="42"/>
      <c r="F12" s="42"/>
      <c r="G12" s="42"/>
      <c r="H12" s="42"/>
      <c r="I12" s="42"/>
      <c r="J12" s="42"/>
      <c r="K12" s="45">
        <f>D12*(Tabellen!C12+E12*Tabellen!D12+F12*E12*Tabellen!E12+G12*Tabellen!F12+H12*Tabellen!H12+I12*Tabellen!I12+J12*Tabellen!R12+F12*Tabellen!G12)</f>
        <v>0</v>
      </c>
      <c r="L12" s="131">
        <f>D12*(Tabellen!C39+E12*Tabellen!D39+F12*E12*Tabellen!E39+G12*Tabellen!F39+H12*Tabellen!H39+I12*Tabellen!I39+J12*Tabellen!R39+F12*Tabellen!G39)</f>
        <v>0</v>
      </c>
      <c r="M12" s="132">
        <f>L12*Tabellen!V12</f>
        <v>0</v>
      </c>
      <c r="N12" s="132">
        <f t="shared" si="0"/>
        <v>0</v>
      </c>
      <c r="P12" s="73"/>
      <c r="Q12" s="133"/>
      <c r="R12" s="32"/>
      <c r="S12" s="74"/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>
        <f t="shared" si="5"/>
        <v>0</v>
      </c>
    </row>
    <row r="13" spans="1:24" x14ac:dyDescent="0.35">
      <c r="A13" s="58"/>
      <c r="B13" s="59"/>
      <c r="C13" s="54"/>
      <c r="D13" s="41"/>
      <c r="E13" s="129"/>
      <c r="F13" s="129"/>
      <c r="G13" s="129"/>
      <c r="H13" s="129"/>
      <c r="I13" s="129"/>
      <c r="J13" s="129"/>
      <c r="K13" s="45">
        <f>D13*(Tabellen!C13+E13*Tabellen!D13+F13*E13*Tabellen!E13+G13*Tabellen!F13+H13*Tabellen!H13+I13*Tabellen!I13+J13*Tabellen!R13+F13*Tabellen!G13)</f>
        <v>0</v>
      </c>
      <c r="L13" s="131">
        <f>D13*(Tabellen!C40+E13*Tabellen!D40+F13*E13*Tabellen!E40+G13*Tabellen!F40+H13*Tabellen!H40+I13*Tabellen!I40+J13*Tabellen!R40+F13*Tabellen!G40)</f>
        <v>0</v>
      </c>
      <c r="M13" s="132">
        <f>L13*Tabellen!V13</f>
        <v>0</v>
      </c>
      <c r="N13" s="132">
        <f t="shared" si="0"/>
        <v>0</v>
      </c>
      <c r="P13" s="73"/>
      <c r="Q13" s="133"/>
      <c r="R13" s="32"/>
      <c r="S13" s="74"/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4" x14ac:dyDescent="0.35">
      <c r="A14" s="58"/>
      <c r="B14" s="59"/>
      <c r="C14" s="53" t="s">
        <v>35</v>
      </c>
      <c r="E14" s="78"/>
      <c r="F14" s="49"/>
      <c r="G14" s="49"/>
      <c r="H14" s="49"/>
      <c r="I14" s="49"/>
      <c r="J14" s="50"/>
      <c r="K14" s="45">
        <f>D14*Tabellen!B3</f>
        <v>0</v>
      </c>
      <c r="L14" s="131">
        <f>D14*Tabellen!B30*1.5</f>
        <v>0</v>
      </c>
      <c r="M14" s="132">
        <f>L14*Tabellen!V29</f>
        <v>0</v>
      </c>
      <c r="N14" s="132">
        <f t="shared" si="0"/>
        <v>0</v>
      </c>
      <c r="P14" s="73"/>
      <c r="Q14" s="133"/>
      <c r="R14" s="32"/>
      <c r="S14" s="74"/>
    </row>
    <row r="15" spans="1:24" x14ac:dyDescent="0.35">
      <c r="A15" s="60"/>
      <c r="B15" s="61"/>
      <c r="C15" s="48" t="s">
        <v>20</v>
      </c>
      <c r="D15" s="44">
        <f>SUM(D3:D14)</f>
        <v>0</v>
      </c>
      <c r="E15" s="42">
        <f>2*(D3*E3+D4*E4+D5*E5+D6*E6+D7*E7+D8*E8+D9*E9+D10*E10+D11*E11+D12*E12+D13*E13)</f>
        <v>0</v>
      </c>
      <c r="F15" s="42">
        <f>SUM(T3:T13)</f>
        <v>0</v>
      </c>
      <c r="G15" s="42">
        <f>SUM(U3:U13)</f>
        <v>0</v>
      </c>
      <c r="H15" s="42">
        <f>SUM(V3:V13)</f>
        <v>0</v>
      </c>
      <c r="I15" s="42">
        <f>SUM(W3:W13)</f>
        <v>0</v>
      </c>
      <c r="J15" s="37">
        <f>SUM(X3:X13)</f>
        <v>0</v>
      </c>
      <c r="K15" s="32"/>
      <c r="L15" s="133"/>
      <c r="M15" s="134"/>
      <c r="N15" s="134"/>
      <c r="P15" s="111">
        <f>SUM(K3:K14)</f>
        <v>0</v>
      </c>
      <c r="Q15" s="131">
        <f>SUM(L3:L14)</f>
        <v>0</v>
      </c>
      <c r="R15" s="132">
        <f>SUM(M3:M14)</f>
        <v>0</v>
      </c>
      <c r="S15" s="132">
        <f>SUM(N3:N14)</f>
        <v>0</v>
      </c>
    </row>
    <row r="16" spans="1:24" x14ac:dyDescent="0.35">
      <c r="A16" s="135"/>
      <c r="B16" s="136"/>
      <c r="C16" s="137"/>
      <c r="D16" s="137"/>
      <c r="E16" s="135"/>
      <c r="F16" s="135"/>
      <c r="G16" s="135"/>
      <c r="H16" s="135"/>
      <c r="I16" s="135"/>
      <c r="J16" s="135"/>
      <c r="K16" s="138"/>
      <c r="L16" s="139"/>
      <c r="M16" s="140"/>
      <c r="N16" s="140"/>
      <c r="O16" s="32"/>
      <c r="P16" s="73"/>
      <c r="Q16" s="133"/>
      <c r="R16" s="32"/>
      <c r="S16" s="74"/>
    </row>
    <row r="17" spans="1:24" x14ac:dyDescent="0.35">
      <c r="A17" s="454" t="s">
        <v>30</v>
      </c>
      <c r="B17" s="455"/>
      <c r="C17" s="53" t="s">
        <v>31</v>
      </c>
      <c r="D17" s="44"/>
      <c r="E17" s="65"/>
      <c r="F17" s="462"/>
      <c r="G17" s="463"/>
      <c r="H17" s="464"/>
      <c r="I17" s="50"/>
      <c r="J17" s="37"/>
      <c r="K17" s="45">
        <f>D17*(Tabellen!J3+E17*Tabellen!L3+I17*Tabellen!M3+J17*Tabellen!R3)</f>
        <v>0</v>
      </c>
      <c r="L17" s="131">
        <f>D17*(Tabellen!J30+E17*Tabellen!L30+I17*Tabellen!M30+J17*Tabellen!R30)</f>
        <v>0</v>
      </c>
      <c r="M17" s="132">
        <f>L17*Tabellen!V3</f>
        <v>0</v>
      </c>
      <c r="N17" s="132">
        <f t="shared" ref="N17:N27" si="6">K17+M17</f>
        <v>0</v>
      </c>
      <c r="O17" s="32"/>
      <c r="P17" s="73"/>
      <c r="Q17" s="133"/>
      <c r="R17" s="32"/>
      <c r="S17" s="74"/>
      <c r="W17">
        <f>D17*I17</f>
        <v>0</v>
      </c>
      <c r="X17">
        <f>D17*J17</f>
        <v>0</v>
      </c>
    </row>
    <row r="18" spans="1:24" x14ac:dyDescent="0.35">
      <c r="A18" s="58"/>
      <c r="B18" s="59"/>
      <c r="C18" s="53"/>
      <c r="D18" s="44"/>
      <c r="E18" s="65"/>
      <c r="F18" s="465"/>
      <c r="G18" s="466"/>
      <c r="H18" s="467"/>
      <c r="I18" s="50"/>
      <c r="J18" s="37"/>
      <c r="K18" s="45">
        <f>D18*(Tabellen!J4+E18*Tabellen!L4+I18*Tabellen!M4+J18*Tabellen!R4)</f>
        <v>0</v>
      </c>
      <c r="L18" s="131">
        <f>D18*(Tabellen!J31+E18*Tabellen!L31+I18*Tabellen!M31+J18*Tabellen!R31)</f>
        <v>0</v>
      </c>
      <c r="M18" s="132">
        <f>L18*Tabellen!V4</f>
        <v>0</v>
      </c>
      <c r="N18" s="132">
        <f t="shared" si="6"/>
        <v>0</v>
      </c>
      <c r="O18" s="32"/>
      <c r="P18" s="73"/>
      <c r="Q18" s="133"/>
      <c r="R18" s="32"/>
      <c r="S18" s="74"/>
      <c r="W18">
        <f t="shared" ref="W18:W26" si="7">D18*I18</f>
        <v>0</v>
      </c>
      <c r="X18">
        <f t="shared" ref="X18:X26" si="8">D18*J18</f>
        <v>0</v>
      </c>
    </row>
    <row r="19" spans="1:24" x14ac:dyDescent="0.35">
      <c r="A19" s="58"/>
      <c r="B19" s="59"/>
      <c r="C19" s="53"/>
      <c r="D19" s="44"/>
      <c r="E19" s="65"/>
      <c r="F19" s="465"/>
      <c r="G19" s="466"/>
      <c r="H19" s="467"/>
      <c r="I19" s="50"/>
      <c r="J19" s="37"/>
      <c r="K19" s="45">
        <f>D19*(Tabellen!J5+E19*Tabellen!L5+I19*Tabellen!M5+J19*Tabellen!R5)</f>
        <v>0</v>
      </c>
      <c r="L19" s="131">
        <f>D19*(Tabellen!J32+E19*Tabellen!L32+I19*Tabellen!M32+J19*Tabellen!R32)</f>
        <v>0</v>
      </c>
      <c r="M19" s="132">
        <f>L19*Tabellen!V5</f>
        <v>0</v>
      </c>
      <c r="N19" s="132">
        <f t="shared" si="6"/>
        <v>0</v>
      </c>
      <c r="O19" s="32"/>
      <c r="P19" s="73"/>
      <c r="Q19" s="133"/>
      <c r="R19" s="32"/>
      <c r="S19" s="74"/>
      <c r="W19">
        <f t="shared" si="7"/>
        <v>0</v>
      </c>
      <c r="X19">
        <f t="shared" si="8"/>
        <v>0</v>
      </c>
    </row>
    <row r="20" spans="1:24" x14ac:dyDescent="0.35">
      <c r="A20" s="58"/>
      <c r="B20" s="59"/>
      <c r="C20" s="53"/>
      <c r="D20" s="44"/>
      <c r="E20" s="65"/>
      <c r="F20" s="465"/>
      <c r="G20" s="466"/>
      <c r="H20" s="467"/>
      <c r="I20" s="50"/>
      <c r="J20" s="37"/>
      <c r="K20" s="45">
        <f>D20*(Tabellen!J6+E20*Tabellen!L6+I20*Tabellen!M6+J20*Tabellen!R6)</f>
        <v>0</v>
      </c>
      <c r="L20" s="131">
        <f>D20*(Tabellen!J33+E20*Tabellen!L33+I20*Tabellen!M33+J20*Tabellen!R33)</f>
        <v>0</v>
      </c>
      <c r="M20" s="132">
        <f>L20*Tabellen!V6</f>
        <v>0</v>
      </c>
      <c r="N20" s="132">
        <f t="shared" si="6"/>
        <v>0</v>
      </c>
      <c r="O20" s="32"/>
      <c r="P20" s="73"/>
      <c r="Q20" s="133"/>
      <c r="R20" s="32"/>
      <c r="S20" s="74"/>
      <c r="W20">
        <f t="shared" si="7"/>
        <v>0</v>
      </c>
      <c r="X20">
        <f t="shared" si="8"/>
        <v>0</v>
      </c>
    </row>
    <row r="21" spans="1:24" x14ac:dyDescent="0.35">
      <c r="A21" s="58"/>
      <c r="B21" s="59"/>
      <c r="C21" s="53"/>
      <c r="D21" s="44"/>
      <c r="E21" s="65"/>
      <c r="F21" s="465"/>
      <c r="G21" s="466"/>
      <c r="H21" s="467"/>
      <c r="I21" s="50"/>
      <c r="J21" s="37"/>
      <c r="K21" s="45">
        <f>D21*(Tabellen!J7+E21*Tabellen!L7+I21*Tabellen!M7+J21*Tabellen!R7)</f>
        <v>0</v>
      </c>
      <c r="L21" s="131">
        <f>D21*(Tabellen!J34+E21*Tabellen!L34+I21*Tabellen!M34+J21*Tabellen!R34)</f>
        <v>0</v>
      </c>
      <c r="M21" s="132">
        <f>L21*Tabellen!V7</f>
        <v>0</v>
      </c>
      <c r="N21" s="132">
        <f t="shared" si="6"/>
        <v>0</v>
      </c>
      <c r="O21" s="32"/>
      <c r="P21" s="73"/>
      <c r="Q21" s="133"/>
      <c r="R21" s="32"/>
      <c r="S21" s="74"/>
      <c r="W21">
        <f t="shared" si="7"/>
        <v>0</v>
      </c>
      <c r="X21">
        <f t="shared" si="8"/>
        <v>0</v>
      </c>
    </row>
    <row r="22" spans="1:24" x14ac:dyDescent="0.35">
      <c r="A22" s="58"/>
      <c r="B22" s="59"/>
      <c r="C22" s="53"/>
      <c r="D22" s="44"/>
      <c r="E22" s="65"/>
      <c r="F22" s="465"/>
      <c r="G22" s="466"/>
      <c r="H22" s="467"/>
      <c r="I22" s="50"/>
      <c r="J22" s="37"/>
      <c r="K22" s="45">
        <f>D22*(Tabellen!J8+E22*Tabellen!L8+I22*Tabellen!M8+J22*Tabellen!R8)</f>
        <v>0</v>
      </c>
      <c r="L22" s="131">
        <f>D22*(Tabellen!J35+E22*Tabellen!L35+I22*Tabellen!M35+J22*Tabellen!R35)</f>
        <v>0</v>
      </c>
      <c r="M22" s="132">
        <f>L22*Tabellen!V8</f>
        <v>0</v>
      </c>
      <c r="N22" s="132">
        <f t="shared" si="6"/>
        <v>0</v>
      </c>
      <c r="O22" s="32"/>
      <c r="P22" s="73"/>
      <c r="Q22" s="133"/>
      <c r="R22" s="32"/>
      <c r="S22" s="74"/>
      <c r="W22">
        <f t="shared" si="7"/>
        <v>0</v>
      </c>
      <c r="X22">
        <f t="shared" si="8"/>
        <v>0</v>
      </c>
    </row>
    <row r="23" spans="1:24" x14ac:dyDescent="0.35">
      <c r="A23" s="58"/>
      <c r="B23" s="59"/>
      <c r="C23" s="53"/>
      <c r="D23" s="44"/>
      <c r="E23" s="65"/>
      <c r="F23" s="465"/>
      <c r="G23" s="466"/>
      <c r="H23" s="467"/>
      <c r="I23" s="50"/>
      <c r="J23" s="37"/>
      <c r="K23" s="45">
        <f>D23*(Tabellen!J9+E23*Tabellen!L9+I23*Tabellen!M9+J23*Tabellen!R9)</f>
        <v>0</v>
      </c>
      <c r="L23" s="131">
        <f>D23*(Tabellen!J36+E23*Tabellen!L36+I23*Tabellen!M36+J23*Tabellen!R36)</f>
        <v>0</v>
      </c>
      <c r="M23" s="132">
        <f>L23*Tabellen!V9</f>
        <v>0</v>
      </c>
      <c r="N23" s="132">
        <f t="shared" si="6"/>
        <v>0</v>
      </c>
      <c r="O23" s="32"/>
      <c r="P23" s="73"/>
      <c r="Q23" s="133"/>
      <c r="R23" s="32"/>
      <c r="S23" s="74"/>
      <c r="W23">
        <f t="shared" si="7"/>
        <v>0</v>
      </c>
      <c r="X23">
        <f t="shared" si="8"/>
        <v>0</v>
      </c>
    </row>
    <row r="24" spans="1:24" x14ac:dyDescent="0.35">
      <c r="A24" s="58"/>
      <c r="B24" s="59"/>
      <c r="C24" s="53"/>
      <c r="D24" s="44"/>
      <c r="E24" s="65"/>
      <c r="F24" s="465"/>
      <c r="G24" s="466"/>
      <c r="H24" s="467"/>
      <c r="I24" s="50"/>
      <c r="J24" s="37"/>
      <c r="K24" s="45">
        <f>D24*(Tabellen!J10+E24*Tabellen!L10+I24*Tabellen!M10+J24*Tabellen!R10)</f>
        <v>0</v>
      </c>
      <c r="L24" s="131">
        <f>D24*(Tabellen!J37+E24*Tabellen!L37+I24*Tabellen!M37+J24*Tabellen!R37)</f>
        <v>0</v>
      </c>
      <c r="M24" s="132">
        <f>L24*Tabellen!V10</f>
        <v>0</v>
      </c>
      <c r="N24" s="132">
        <f t="shared" si="6"/>
        <v>0</v>
      </c>
      <c r="O24" s="32"/>
      <c r="P24" s="73"/>
      <c r="Q24" s="133"/>
      <c r="R24" s="32"/>
      <c r="S24" s="74"/>
      <c r="W24">
        <f t="shared" si="7"/>
        <v>0</v>
      </c>
      <c r="X24">
        <f t="shared" si="8"/>
        <v>0</v>
      </c>
    </row>
    <row r="25" spans="1:24" x14ac:dyDescent="0.35">
      <c r="A25" s="58"/>
      <c r="B25" s="59"/>
      <c r="C25" s="53"/>
      <c r="D25" s="44"/>
      <c r="E25" s="65"/>
      <c r="F25" s="465"/>
      <c r="G25" s="466"/>
      <c r="H25" s="467"/>
      <c r="I25" s="50"/>
      <c r="J25" s="37"/>
      <c r="K25" s="45">
        <f>D25*(Tabellen!J11+E25*Tabellen!L11+I25*Tabellen!M11+J25*Tabellen!R11)</f>
        <v>0</v>
      </c>
      <c r="L25" s="131">
        <f>D25*(Tabellen!J38+E25*Tabellen!L38+I25*Tabellen!M38+J25*Tabellen!R38)</f>
        <v>0</v>
      </c>
      <c r="M25" s="132">
        <f>L25*Tabellen!V11</f>
        <v>0</v>
      </c>
      <c r="N25" s="132">
        <f t="shared" si="6"/>
        <v>0</v>
      </c>
      <c r="O25" s="32"/>
      <c r="P25" s="73"/>
      <c r="Q25" s="133"/>
      <c r="R25" s="32"/>
      <c r="S25" s="74"/>
      <c r="W25">
        <f t="shared" si="7"/>
        <v>0</v>
      </c>
      <c r="X25">
        <f t="shared" si="8"/>
        <v>0</v>
      </c>
    </row>
    <row r="26" spans="1:24" x14ac:dyDescent="0.35">
      <c r="A26" s="58"/>
      <c r="B26" s="59"/>
      <c r="C26" s="53"/>
      <c r="D26" s="44"/>
      <c r="E26" s="65"/>
      <c r="F26" s="465"/>
      <c r="G26" s="466"/>
      <c r="H26" s="467"/>
      <c r="I26" s="50"/>
      <c r="J26" s="37"/>
      <c r="K26" s="45">
        <f>D26*(Tabellen!J12+E26*Tabellen!L12+I26*Tabellen!M12+J26*Tabellen!R12)</f>
        <v>0</v>
      </c>
      <c r="L26" s="131">
        <f>D26*(Tabellen!J39+E26*Tabellen!L39+I26*Tabellen!M39+J26*Tabellen!R39)</f>
        <v>0</v>
      </c>
      <c r="M26" s="132">
        <f>L26*Tabellen!V12</f>
        <v>0</v>
      </c>
      <c r="N26" s="132">
        <f t="shared" si="6"/>
        <v>0</v>
      </c>
      <c r="O26" s="32"/>
      <c r="P26" s="73"/>
      <c r="Q26" s="133"/>
      <c r="R26" s="32"/>
      <c r="S26" s="74"/>
      <c r="W26">
        <f t="shared" si="7"/>
        <v>0</v>
      </c>
      <c r="X26">
        <f t="shared" si="8"/>
        <v>0</v>
      </c>
    </row>
    <row r="27" spans="1:24" x14ac:dyDescent="0.35">
      <c r="A27" s="58"/>
      <c r="B27" s="59"/>
      <c r="C27" s="53" t="s">
        <v>148</v>
      </c>
      <c r="D27" s="44"/>
      <c r="E27" s="65"/>
      <c r="F27" s="465"/>
      <c r="G27" s="466"/>
      <c r="H27" s="467"/>
      <c r="I27" s="50"/>
      <c r="J27" s="37"/>
      <c r="K27" s="64">
        <f>D27*Tabellen!K3</f>
        <v>0</v>
      </c>
      <c r="L27" s="64">
        <f>D27*Tabellen!K30</f>
        <v>0</v>
      </c>
      <c r="M27" s="132">
        <f>L27*Tabellen!V13</f>
        <v>0</v>
      </c>
      <c r="N27" s="132">
        <f t="shared" si="6"/>
        <v>0</v>
      </c>
      <c r="O27" s="32"/>
      <c r="P27" s="73"/>
      <c r="Q27" s="133"/>
      <c r="R27" s="32"/>
      <c r="S27" s="74"/>
    </row>
    <row r="28" spans="1:24" x14ac:dyDescent="0.35">
      <c r="A28" s="60"/>
      <c r="B28" s="61"/>
      <c r="C28" s="53" t="s">
        <v>20</v>
      </c>
      <c r="D28" s="44">
        <f>SUM(D17:D27)</f>
        <v>0</v>
      </c>
      <c r="E28" s="65">
        <f>D17*E17+D18*E18+D19*E19+D20*E20+D21*E21+D22*E22+D23*E23+D24*E24+D25*E25+D27*E27</f>
        <v>0</v>
      </c>
      <c r="F28" s="468"/>
      <c r="G28" s="469"/>
      <c r="H28" s="470"/>
      <c r="I28" s="50">
        <f>SUM(W17:W26)</f>
        <v>0</v>
      </c>
      <c r="J28" s="37">
        <f>SUM(X17:X26)</f>
        <v>0</v>
      </c>
      <c r="K28" s="32"/>
      <c r="L28" s="133"/>
      <c r="M28" s="134"/>
      <c r="N28" s="134"/>
      <c r="O28" s="32"/>
      <c r="P28" s="111">
        <f>SUM(K17:K27)</f>
        <v>0</v>
      </c>
      <c r="Q28" s="131">
        <f>SUM(L17:L27)</f>
        <v>0</v>
      </c>
      <c r="R28" s="132">
        <f>SUM(M17:M27)</f>
        <v>0</v>
      </c>
      <c r="S28" s="132">
        <f>SUM(N17:N27)</f>
        <v>0</v>
      </c>
    </row>
    <row r="29" spans="1:24" x14ac:dyDescent="0.35">
      <c r="A29" s="135"/>
      <c r="B29" s="136"/>
      <c r="C29" s="137"/>
      <c r="D29" s="137"/>
      <c r="E29" s="135"/>
      <c r="F29" s="135"/>
      <c r="G29" s="135"/>
      <c r="H29" s="135"/>
      <c r="I29" s="135"/>
      <c r="J29" s="135"/>
      <c r="K29" s="138"/>
      <c r="L29" s="139"/>
      <c r="M29" s="140"/>
      <c r="N29" s="140"/>
      <c r="O29" s="32"/>
      <c r="P29" s="73"/>
      <c r="Q29" s="133"/>
      <c r="R29" s="32"/>
      <c r="S29" s="74"/>
    </row>
    <row r="30" spans="1:24" x14ac:dyDescent="0.35">
      <c r="A30" s="80" t="s">
        <v>16</v>
      </c>
      <c r="B30" s="81"/>
      <c r="C30" s="63" t="s">
        <v>129</v>
      </c>
      <c r="D30" s="44"/>
      <c r="E30" s="65"/>
      <c r="F30" s="49"/>
      <c r="G30" s="49"/>
      <c r="H30" s="49"/>
      <c r="I30" s="49"/>
      <c r="J30" s="49"/>
      <c r="K30" s="45">
        <f>D30*Tabellen!N3</f>
        <v>0</v>
      </c>
      <c r="L30" s="131">
        <f>D30*Tabellen!N30</f>
        <v>0</v>
      </c>
      <c r="M30" s="132">
        <f>L30*Tabellen!V3</f>
        <v>0</v>
      </c>
      <c r="N30" s="132">
        <f>K30+M30</f>
        <v>0</v>
      </c>
      <c r="O30" s="32"/>
      <c r="P30" s="73"/>
      <c r="Q30" s="133"/>
      <c r="R30" s="32"/>
      <c r="S30" s="74"/>
    </row>
    <row r="31" spans="1:24" x14ac:dyDescent="0.35">
      <c r="A31" s="51"/>
      <c r="B31" s="52"/>
      <c r="C31" s="35"/>
      <c r="D31" s="46"/>
      <c r="E31" s="39"/>
      <c r="F31" s="39"/>
      <c r="G31" s="39"/>
      <c r="H31" s="39"/>
      <c r="I31" s="39"/>
      <c r="J31" s="39"/>
      <c r="K31" s="43"/>
      <c r="L31" s="133"/>
      <c r="M31" s="134"/>
      <c r="N31" s="134"/>
      <c r="O31" s="32"/>
      <c r="P31" s="73"/>
      <c r="Q31" s="133"/>
      <c r="R31" s="32"/>
      <c r="S31" s="74"/>
    </row>
    <row r="32" spans="1:24" x14ac:dyDescent="0.35">
      <c r="A32" s="80" t="s">
        <v>68</v>
      </c>
      <c r="B32" s="112" t="s">
        <v>69</v>
      </c>
      <c r="C32" s="44" t="s">
        <v>37</v>
      </c>
      <c r="D32" s="44"/>
      <c r="E32" s="65"/>
      <c r="F32" s="68"/>
      <c r="G32" s="90"/>
      <c r="H32" s="69"/>
      <c r="I32" s="90"/>
      <c r="J32" s="177"/>
      <c r="K32" s="67">
        <f>D32*Tabellen!E61+D32*E32*Tabellen!F61</f>
        <v>0</v>
      </c>
      <c r="L32" s="131">
        <f>D32*Tabellen!G61+D32*E32*Tabellen!H61</f>
        <v>0</v>
      </c>
      <c r="M32" s="132">
        <f>L32*O3</f>
        <v>0</v>
      </c>
      <c r="N32" s="132">
        <f>K32+M32</f>
        <v>0</v>
      </c>
      <c r="O32" s="32"/>
      <c r="P32" s="73"/>
      <c r="Q32" s="133"/>
      <c r="R32" s="32"/>
      <c r="S32" s="74"/>
    </row>
    <row r="33" spans="1:19" x14ac:dyDescent="0.35">
      <c r="A33" s="35"/>
      <c r="B33" s="91"/>
      <c r="C33" s="46"/>
      <c r="D33" s="46"/>
      <c r="E33" s="39"/>
      <c r="F33" s="92"/>
      <c r="G33" s="92"/>
      <c r="H33" s="93"/>
      <c r="I33" s="92"/>
      <c r="J33" s="93"/>
      <c r="K33" s="43"/>
      <c r="L33" s="133"/>
      <c r="M33" s="134"/>
      <c r="N33" s="134"/>
      <c r="O33" s="32"/>
      <c r="P33" s="73"/>
      <c r="Q33" s="133"/>
      <c r="R33" s="32"/>
      <c r="S33" s="74"/>
    </row>
    <row r="34" spans="1:19" x14ac:dyDescent="0.35">
      <c r="A34" s="113" t="s">
        <v>70</v>
      </c>
      <c r="B34" s="57"/>
      <c r="C34" s="63" t="s">
        <v>71</v>
      </c>
      <c r="D34" s="47"/>
      <c r="E34" s="483"/>
      <c r="F34" s="484"/>
      <c r="G34" s="484"/>
      <c r="H34" s="484"/>
      <c r="I34" s="484"/>
      <c r="J34" s="485"/>
      <c r="K34" s="132">
        <f>Tabellen!O3*D34</f>
        <v>0</v>
      </c>
      <c r="L34" s="131">
        <f>Tabellen!O30*D34</f>
        <v>0</v>
      </c>
      <c r="M34" s="132">
        <f>L34*Tabellen!V3</f>
        <v>0</v>
      </c>
      <c r="N34" s="132">
        <f>K34+M34</f>
        <v>0</v>
      </c>
      <c r="P34" s="73"/>
      <c r="Q34" s="133"/>
      <c r="R34" s="32"/>
      <c r="S34" s="74"/>
    </row>
    <row r="35" spans="1:19" x14ac:dyDescent="0.35">
      <c r="A35" s="114"/>
      <c r="B35" s="59"/>
      <c r="C35" s="63" t="s">
        <v>72</v>
      </c>
      <c r="D35" s="47"/>
      <c r="E35" s="489" t="s">
        <v>227</v>
      </c>
      <c r="F35" s="490"/>
      <c r="G35" s="490"/>
      <c r="H35" s="490"/>
      <c r="I35" s="490"/>
      <c r="J35" s="491"/>
      <c r="K35" s="132">
        <f>D35*(Tabellen!P3+Tabellen!S3)</f>
        <v>0</v>
      </c>
      <c r="L35" s="131">
        <f>D35*(Tabellen!P30+Tabellen!S30)</f>
        <v>0</v>
      </c>
      <c r="M35" s="132">
        <f>L35*Tabellen!V4</f>
        <v>0</v>
      </c>
      <c r="N35" s="132">
        <f>K35+M35</f>
        <v>0</v>
      </c>
      <c r="P35" s="73"/>
      <c r="Q35" s="133"/>
      <c r="R35" s="32"/>
      <c r="S35" s="74"/>
    </row>
    <row r="36" spans="1:19" x14ac:dyDescent="0.35">
      <c r="A36" s="114"/>
      <c r="B36" s="59"/>
      <c r="C36" s="63" t="s">
        <v>73</v>
      </c>
      <c r="D36" s="47"/>
      <c r="E36" s="486"/>
      <c r="F36" s="487"/>
      <c r="G36" s="487"/>
      <c r="H36" s="487"/>
      <c r="I36" s="487"/>
      <c r="J36" s="488"/>
      <c r="K36" s="132">
        <f>D36*Tabellen!Q3</f>
        <v>0</v>
      </c>
      <c r="L36" s="131">
        <f>D36*Tabellen!Q30</f>
        <v>0</v>
      </c>
      <c r="M36" s="132">
        <f>L36*Tabellen!V5</f>
        <v>0</v>
      </c>
      <c r="N36" s="132">
        <f>K36+M36</f>
        <v>0</v>
      </c>
      <c r="P36" s="73"/>
      <c r="Q36" s="133"/>
      <c r="R36" s="32"/>
      <c r="S36" s="74"/>
    </row>
    <row r="37" spans="1:19" x14ac:dyDescent="0.35">
      <c r="A37" s="114"/>
      <c r="B37" s="59"/>
      <c r="C37" s="63" t="s">
        <v>108</v>
      </c>
      <c r="D37" s="47"/>
      <c r="E37" s="42"/>
      <c r="F37" s="65"/>
      <c r="G37" s="49"/>
      <c r="H37" s="49"/>
      <c r="I37" s="66"/>
      <c r="J37" s="67"/>
      <c r="K37" s="45">
        <f>D37*Tabellen!E62+D37*E37*Tabellen!F62</f>
        <v>0</v>
      </c>
      <c r="L37" s="131">
        <f>D37*Tabellen!G62+D37*E37*Tabellen!H62</f>
        <v>0</v>
      </c>
      <c r="M37" s="132">
        <f>L37*O3</f>
        <v>0</v>
      </c>
      <c r="N37" s="132">
        <f>K37+M37</f>
        <v>0</v>
      </c>
      <c r="P37" s="73"/>
      <c r="Q37" s="133"/>
      <c r="R37" s="32"/>
      <c r="S37" s="74"/>
    </row>
    <row r="38" spans="1:19" x14ac:dyDescent="0.35">
      <c r="A38" s="115"/>
      <c r="B38" s="116"/>
      <c r="C38" s="44" t="s">
        <v>20</v>
      </c>
      <c r="D38" s="44"/>
      <c r="E38" s="39"/>
      <c r="F38" s="39"/>
      <c r="G38" s="39"/>
      <c r="H38" s="39"/>
      <c r="I38" s="39"/>
      <c r="J38" s="43"/>
      <c r="K38" s="32"/>
      <c r="L38" s="133"/>
      <c r="M38" s="134"/>
      <c r="N38" s="134"/>
      <c r="P38" s="111">
        <f>SUM(K34:K37)</f>
        <v>0</v>
      </c>
      <c r="Q38" s="131">
        <f>SUM(L34:L37)</f>
        <v>0</v>
      </c>
      <c r="R38" s="132">
        <f>SUM(M34:M37)</f>
        <v>0</v>
      </c>
      <c r="S38" s="132">
        <f>SUM(N34:N37)</f>
        <v>0</v>
      </c>
    </row>
    <row r="39" spans="1:19" x14ac:dyDescent="0.35">
      <c r="A39" s="141"/>
      <c r="B39" s="142"/>
      <c r="C39" s="137"/>
      <c r="D39" s="137"/>
      <c r="E39" s="135"/>
      <c r="F39" s="143"/>
      <c r="G39" s="143"/>
      <c r="H39" s="144"/>
      <c r="I39" s="143"/>
      <c r="J39" s="144"/>
      <c r="K39" s="138"/>
      <c r="L39" s="139"/>
      <c r="M39" s="140"/>
      <c r="N39" s="140"/>
      <c r="O39" s="32"/>
    </row>
    <row r="40" spans="1:19" x14ac:dyDescent="0.35">
      <c r="A40" s="51"/>
      <c r="B40" s="52"/>
      <c r="C40" s="46"/>
      <c r="D40" s="46"/>
      <c r="E40" s="39"/>
      <c r="F40" s="39"/>
      <c r="G40" s="39"/>
      <c r="H40" s="39"/>
      <c r="I40" s="39"/>
      <c r="J40" s="39"/>
      <c r="K40" s="43"/>
      <c r="L40" s="133"/>
      <c r="M40" s="134"/>
      <c r="N40" s="134"/>
      <c r="O40" s="32"/>
    </row>
    <row r="41" spans="1:19" x14ac:dyDescent="0.35">
      <c r="A41" s="456" t="s">
        <v>32</v>
      </c>
      <c r="B41" s="457"/>
      <c r="C41" s="47">
        <f>G1</f>
        <v>0</v>
      </c>
      <c r="D41" s="48"/>
      <c r="E41" s="49"/>
      <c r="F41" s="49"/>
      <c r="G41" s="49"/>
      <c r="H41" s="49"/>
      <c r="I41" s="50"/>
      <c r="J41" s="50"/>
      <c r="K41" s="45">
        <f>SUM(K3:K39)</f>
        <v>0</v>
      </c>
      <c r="L41" s="131">
        <f>SUM(L3:L40)</f>
        <v>0</v>
      </c>
      <c r="M41" s="132">
        <f>L41*O3</f>
        <v>0</v>
      </c>
      <c r="N41" s="132">
        <f>K41+M41</f>
        <v>0</v>
      </c>
      <c r="O41" s="32"/>
      <c r="P41" s="237"/>
      <c r="R41" s="237"/>
    </row>
    <row r="42" spans="1:19" x14ac:dyDescent="0.35">
      <c r="A42" s="51"/>
      <c r="B42" s="52"/>
      <c r="C42" s="47" t="s">
        <v>34</v>
      </c>
      <c r="D42" s="48"/>
      <c r="E42" s="49"/>
      <c r="F42" s="49"/>
      <c r="G42" s="49"/>
      <c r="H42" s="50"/>
      <c r="I42" s="62">
        <f>'AP und Sort'!I42</f>
        <v>2</v>
      </c>
      <c r="J42" s="62"/>
      <c r="K42" s="45">
        <f>I42*K41</f>
        <v>0</v>
      </c>
      <c r="L42" s="131"/>
      <c r="M42" s="132">
        <f>I42*M41</f>
        <v>0</v>
      </c>
      <c r="N42" s="132">
        <f>I42*N41</f>
        <v>0</v>
      </c>
      <c r="O42" s="32"/>
    </row>
    <row r="43" spans="1:19" ht="15" thickBot="1" x14ac:dyDescent="0.4">
      <c r="A43" s="51"/>
      <c r="B43" s="52"/>
      <c r="C43" s="46"/>
      <c r="D43" s="46"/>
      <c r="E43" s="39"/>
      <c r="F43" s="39"/>
      <c r="G43" s="39"/>
      <c r="H43" s="39"/>
      <c r="I43" s="39"/>
      <c r="J43" s="39"/>
      <c r="K43" s="43"/>
      <c r="L43" s="131"/>
      <c r="M43" s="43"/>
      <c r="N43" s="145">
        <f>ROUNDUP(N42,-3)</f>
        <v>0</v>
      </c>
      <c r="O43" s="32"/>
    </row>
    <row r="44" spans="1:19" x14ac:dyDescent="0.35">
      <c r="M44" s="43"/>
      <c r="N44" s="43"/>
    </row>
    <row r="45" spans="1:19" x14ac:dyDescent="0.35">
      <c r="M45" s="43"/>
      <c r="N45" s="43"/>
    </row>
    <row r="46" spans="1:19" x14ac:dyDescent="0.35">
      <c r="M46" s="43"/>
      <c r="N46" s="43"/>
    </row>
    <row r="47" spans="1:19" x14ac:dyDescent="0.35">
      <c r="M47" s="43"/>
      <c r="N47" s="43"/>
    </row>
    <row r="48" spans="1:19" x14ac:dyDescent="0.35">
      <c r="M48" s="43"/>
      <c r="N48" s="43"/>
    </row>
    <row r="49" spans="13:14" x14ac:dyDescent="0.35">
      <c r="M49" s="43"/>
      <c r="N49" s="43"/>
    </row>
    <row r="50" spans="13:14" x14ac:dyDescent="0.35">
      <c r="M50" s="43"/>
      <c r="N50" s="43"/>
    </row>
    <row r="51" spans="13:14" x14ac:dyDescent="0.35">
      <c r="M51" s="43"/>
      <c r="N51" s="43"/>
    </row>
    <row r="52" spans="13:14" x14ac:dyDescent="0.35">
      <c r="M52" s="43"/>
      <c r="N52" s="43"/>
    </row>
    <row r="53" spans="13:14" x14ac:dyDescent="0.35">
      <c r="M53" s="43"/>
      <c r="N53" s="43"/>
    </row>
    <row r="54" spans="13:14" x14ac:dyDescent="0.35">
      <c r="M54" s="43"/>
      <c r="N54" s="43"/>
    </row>
    <row r="55" spans="13:14" x14ac:dyDescent="0.35">
      <c r="M55" s="43"/>
      <c r="N55" s="43"/>
    </row>
    <row r="56" spans="13:14" x14ac:dyDescent="0.35">
      <c r="M56" s="43"/>
      <c r="N56" s="43"/>
    </row>
    <row r="57" spans="13:14" x14ac:dyDescent="0.35">
      <c r="M57" s="43"/>
      <c r="N57" s="43"/>
    </row>
    <row r="58" spans="13:14" x14ac:dyDescent="0.35">
      <c r="M58" s="43"/>
      <c r="N58" s="43"/>
    </row>
    <row r="101" spans="3:12" x14ac:dyDescent="0.35">
      <c r="C101" s="36"/>
      <c r="D101" s="36"/>
      <c r="E101" s="36"/>
      <c r="F101" s="39"/>
      <c r="G101" s="39"/>
      <c r="H101" s="36"/>
      <c r="I101" s="36"/>
      <c r="J101" s="36"/>
      <c r="K101" s="36"/>
      <c r="L101" s="38"/>
    </row>
    <row r="102" spans="3:12" x14ac:dyDescent="0.35">
      <c r="C102" s="36"/>
      <c r="D102" s="36"/>
      <c r="E102" s="36"/>
      <c r="F102" s="39"/>
      <c r="G102" s="39"/>
      <c r="H102" s="36"/>
      <c r="I102" s="36"/>
      <c r="J102" s="36"/>
      <c r="K102" s="36"/>
      <c r="L102" s="38"/>
    </row>
    <row r="103" spans="3:12" x14ac:dyDescent="0.35">
      <c r="C103" s="36"/>
      <c r="D103" s="36"/>
      <c r="E103" s="36"/>
      <c r="F103" s="39"/>
      <c r="G103" s="39"/>
      <c r="H103" s="36"/>
      <c r="I103" s="36"/>
      <c r="J103" s="36"/>
      <c r="K103" s="36"/>
      <c r="L103" s="38"/>
    </row>
    <row r="104" spans="3:12" x14ac:dyDescent="0.35"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3:12" x14ac:dyDescent="0.35">
      <c r="C105" s="36"/>
      <c r="D105" s="36"/>
      <c r="E105" s="36"/>
      <c r="F105" s="36"/>
      <c r="G105" s="36"/>
      <c r="H105" s="36"/>
      <c r="I105" s="36"/>
      <c r="J105" s="36"/>
      <c r="K105" s="36"/>
      <c r="L105" s="40"/>
    </row>
    <row r="106" spans="3:12" x14ac:dyDescent="0.35">
      <c r="C106" s="36"/>
      <c r="D106" s="36"/>
      <c r="E106" s="36"/>
      <c r="F106" s="36"/>
      <c r="G106" s="36"/>
      <c r="H106" s="36"/>
      <c r="I106" s="36"/>
      <c r="J106" s="36"/>
      <c r="K106" s="36"/>
      <c r="L106" s="40"/>
    </row>
  </sheetData>
  <mergeCells count="9">
    <mergeCell ref="G1:L1"/>
    <mergeCell ref="A17:B17"/>
    <mergeCell ref="A41:B41"/>
    <mergeCell ref="B1:C1"/>
    <mergeCell ref="E1:F1"/>
    <mergeCell ref="F17:H28"/>
    <mergeCell ref="E34:J34"/>
    <mergeCell ref="E36:J36"/>
    <mergeCell ref="E35:J3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31</vt:i4>
      </vt:variant>
    </vt:vector>
  </HeadingPairs>
  <TitlesOfParts>
    <vt:vector size="64" baseType="lpstr">
      <vt:lpstr>Übersicht</vt:lpstr>
      <vt:lpstr>AP und Sort</vt:lpstr>
      <vt:lpstr>Puffer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Taschen</vt:lpstr>
      <vt:lpstr>Steuerg</vt:lpstr>
      <vt:lpstr>Stahlbau</vt:lpstr>
      <vt:lpstr>BaaN</vt:lpstr>
      <vt:lpstr>Tabellen</vt:lpstr>
      <vt:lpstr>Mengen</vt:lpstr>
      <vt:lpstr>Steurg fremd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'AP und Sort'!Druckbereich</vt:lpstr>
      <vt:lpstr>BaaN!Druckbereich</vt:lpstr>
      <vt:lpstr>Mengen!Druckbereich</vt:lpstr>
      <vt:lpstr>Puffer!Druckbereich</vt:lpstr>
      <vt:lpstr>Steuerg!Druckbereich</vt:lpstr>
      <vt:lpstr>'Steurg fremd'!Druckbereich</vt:lpstr>
      <vt:lpstr>Taschen!Druckbereich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s.ehlers</dc:creator>
  <cp:lastModifiedBy>Eugen Erk</cp:lastModifiedBy>
  <cp:lastPrinted>2019-06-25T08:06:19Z</cp:lastPrinted>
  <dcterms:created xsi:type="dcterms:W3CDTF">2012-02-23T10:21:48Z</dcterms:created>
  <dcterms:modified xsi:type="dcterms:W3CDTF">2021-05-06T11:54:51Z</dcterms:modified>
</cp:coreProperties>
</file>